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workbookProtection workbookAlgorithmName="SHA-512" workbookHashValue="YJiEc8Tp23H4LUlFRm6NMYO7CEnH+ofGPjfCVEjNND28Dq6Xzw9HznH1Rw6SweU/IX3MUn6WK+rdn8eM/Wg5lw==" workbookSaltValue="kIigdXOteV3l4QOHhvU/bw==" workbookSpinCount="100000" lockStructure="1"/>
  <bookViews>
    <workbookView xWindow="0" yWindow="0" windowWidth="26295" windowHeight="10875" firstSheet="3" activeTab="3"/>
  </bookViews>
  <sheets>
    <sheet name="Formulár povodny" sheetId="1" state="hidden" r:id="rId1"/>
    <sheet name="Formulár vyplnene 1" sheetId="9" state="hidden" r:id="rId2"/>
    <sheet name="Formulár vyplnené 2" sheetId="8" state="hidden" r:id="rId3"/>
    <sheet name="Formulár" sheetId="10" r:id="rId4"/>
    <sheet name="Kalkulacia" sheetId="11" state="hidden" r:id="rId5"/>
    <sheet name="Hárok2" sheetId="6" state="hidden" r:id="rId6"/>
    <sheet name="Hárok1" sheetId="5" state="hidden" r:id="rId7"/>
    <sheet name="Okresy" sheetId="4" state="hidden" r:id="rId8"/>
    <sheet name="Output Platba" sheetId="3" state="hidden" r:id="rId9"/>
    <sheet name="Output KOMPLET" sheetId="13" state="hidden" r:id="rId10"/>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13" l="1"/>
  <c r="B2" i="3"/>
  <c r="B2" i="13"/>
  <c r="E2" i="3"/>
  <c r="B235" i="10" l="1"/>
  <c r="B58" i="10" l="1"/>
  <c r="AP2" i="13" l="1"/>
  <c r="AO2" i="13"/>
  <c r="AN2" i="13"/>
  <c r="AM2" i="13"/>
  <c r="AL2" i="13"/>
  <c r="AK2" i="13"/>
  <c r="AG2" i="13"/>
  <c r="AF2" i="13"/>
  <c r="AE2" i="13"/>
  <c r="AD2" i="13"/>
  <c r="AC2" i="13"/>
  <c r="AB2" i="13"/>
  <c r="X2" i="13"/>
  <c r="W2" i="13"/>
  <c r="V2" i="13"/>
  <c r="U2" i="13"/>
  <c r="T2" i="13"/>
  <c r="S2" i="13"/>
  <c r="R2" i="13"/>
  <c r="Q2" i="13"/>
  <c r="P2" i="13"/>
  <c r="O2" i="13"/>
  <c r="N2" i="13"/>
  <c r="M2" i="13"/>
  <c r="G2" i="13"/>
  <c r="BK2" i="13" l="1"/>
  <c r="BJ2" i="13"/>
  <c r="BI2" i="13"/>
  <c r="L2" i="13"/>
  <c r="K2" i="13"/>
  <c r="J2" i="13"/>
  <c r="I2" i="13"/>
  <c r="H2" i="13"/>
  <c r="F2" i="13"/>
  <c r="D2" i="13"/>
  <c r="C2" i="13"/>
  <c r="B136" i="10" l="1"/>
  <c r="AQ2" i="13" s="1"/>
  <c r="B109" i="10"/>
  <c r="AH2" i="13" s="1"/>
  <c r="B82" i="10"/>
  <c r="Y2" i="13" s="1"/>
  <c r="B148" i="10" l="1"/>
  <c r="B139" i="10" l="1"/>
  <c r="AR2" i="13" s="1"/>
  <c r="B112" i="10"/>
  <c r="AI2" i="13" s="1"/>
  <c r="B85" i="10"/>
  <c r="Z2" i="13" s="1"/>
  <c r="AT2" i="13"/>
  <c r="B88" i="10"/>
  <c r="AA2" i="13" s="1"/>
  <c r="B115" i="10"/>
  <c r="AJ2" i="13" s="1"/>
  <c r="B142" i="10"/>
  <c r="AS2" i="13" s="1"/>
  <c r="N2" i="3"/>
  <c r="B234" i="10" l="1"/>
  <c r="B236" i="10" s="1"/>
  <c r="K2" i="3" l="1"/>
  <c r="J2" i="3"/>
  <c r="I2" i="3"/>
  <c r="H2" i="3"/>
  <c r="G2" i="3"/>
  <c r="F2" i="3"/>
  <c r="D2" i="3"/>
  <c r="C2" i="3"/>
  <c r="A2" i="11" l="1"/>
  <c r="D2" i="11" s="1"/>
  <c r="B2" i="11"/>
  <c r="B3" i="11"/>
  <c r="A3" i="11"/>
  <c r="D3" i="11" s="1"/>
  <c r="A4" i="11"/>
  <c r="D4" i="11" s="1"/>
  <c r="B4" i="11"/>
  <c r="G13" i="11"/>
  <c r="G12" i="11"/>
  <c r="G11" i="11"/>
  <c r="G10" i="11"/>
  <c r="G9" i="11"/>
  <c r="G8" i="11"/>
  <c r="G7" i="11"/>
  <c r="G6" i="11"/>
  <c r="G5" i="11"/>
  <c r="G4" i="11"/>
  <c r="G3" i="11"/>
  <c r="G2" i="11"/>
  <c r="B132" i="8"/>
  <c r="B132" i="9"/>
  <c r="B105" i="9"/>
  <c r="B229" i="9"/>
  <c r="B78" i="9"/>
  <c r="B54" i="9"/>
  <c r="B144" i="9" s="1"/>
  <c r="B135" i="9" s="1"/>
  <c r="B224" i="8"/>
  <c r="B105" i="8"/>
  <c r="B78" i="8"/>
  <c r="B54" i="8"/>
  <c r="B144" i="8" s="1"/>
  <c r="B135" i="8" s="1"/>
  <c r="D5" i="11" l="1"/>
  <c r="J12" i="11"/>
  <c r="K12" i="11" s="1"/>
  <c r="M14" i="11"/>
  <c r="B108" i="9"/>
  <c r="B81" i="9"/>
  <c r="B108" i="8"/>
  <c r="B81" i="8"/>
  <c r="J84" i="1"/>
  <c r="B151" i="10" l="1"/>
  <c r="AU2" i="13" s="1"/>
  <c r="J8" i="11"/>
  <c r="K8" i="11" s="1"/>
  <c r="J4" i="11"/>
  <c r="K4" i="11" s="1"/>
  <c r="J7" i="11"/>
  <c r="K7" i="11" s="1"/>
  <c r="J9" i="11"/>
  <c r="K9" i="11" s="1"/>
  <c r="J10" i="11"/>
  <c r="K10" i="11" s="1"/>
  <c r="J13" i="11"/>
  <c r="K13" i="11" s="1"/>
  <c r="J3" i="11"/>
  <c r="K3" i="11" s="1"/>
  <c r="J11" i="11"/>
  <c r="K11" i="11" s="1"/>
  <c r="J5" i="11"/>
  <c r="K5" i="11" s="1"/>
  <c r="J2" i="11"/>
  <c r="K2" i="11" s="1"/>
  <c r="J6" i="11"/>
  <c r="K6" i="11" s="1"/>
  <c r="B147" i="9"/>
  <c r="B147" i="8"/>
  <c r="E3" i="6" l="1"/>
  <c r="D3" i="6"/>
  <c r="E2" i="6"/>
  <c r="D2" i="6"/>
  <c r="S141" i="1" l="1"/>
  <c r="S142" i="1"/>
  <c r="S143" i="1"/>
  <c r="S144" i="1"/>
  <c r="S145" i="1"/>
  <c r="S146" i="1"/>
  <c r="S147" i="1"/>
  <c r="S148" i="1"/>
  <c r="S149" i="1"/>
  <c r="S150" i="1"/>
  <c r="S151" i="1"/>
  <c r="S140" i="1"/>
  <c r="B19" i="6" l="1"/>
  <c r="B20" i="6"/>
  <c r="B21" i="6"/>
  <c r="B22" i="6"/>
  <c r="B23" i="6"/>
  <c r="B24" i="6"/>
  <c r="B25" i="6"/>
  <c r="B26" i="6"/>
  <c r="B27" i="6"/>
  <c r="B28" i="6"/>
  <c r="B29" i="6"/>
  <c r="B18" i="6"/>
  <c r="B3" i="6" l="1"/>
  <c r="B4" i="6"/>
  <c r="B5" i="6"/>
  <c r="B6" i="6"/>
  <c r="B7" i="6"/>
  <c r="B8" i="6"/>
  <c r="B9" i="6"/>
  <c r="B10" i="6"/>
  <c r="B11" i="6"/>
  <c r="B12" i="6"/>
  <c r="B13" i="6"/>
  <c r="B2" i="6"/>
  <c r="C3" i="11" l="1"/>
  <c r="C2" i="11"/>
  <c r="B138" i="8"/>
  <c r="B111" i="9"/>
  <c r="B138" i="9"/>
  <c r="B111" i="8"/>
  <c r="B84" i="9"/>
  <c r="B84" i="8"/>
  <c r="M67" i="1"/>
  <c r="J67" i="1"/>
  <c r="K67" i="1" s="1"/>
  <c r="L67" i="1" s="1"/>
  <c r="L68" i="1" s="1"/>
  <c r="F2" i="6"/>
  <c r="F1" i="6"/>
  <c r="J142" i="1"/>
  <c r="K142" i="1" s="1"/>
  <c r="L142" i="1" s="1"/>
  <c r="J141" i="1"/>
  <c r="K141" i="1" s="1"/>
  <c r="L141" i="1" s="1"/>
  <c r="J139" i="1"/>
  <c r="J140" i="1"/>
  <c r="K140" i="1" s="1"/>
  <c r="L140" i="1" s="1"/>
  <c r="F3" i="6"/>
  <c r="N159" i="1"/>
  <c r="J159" i="1"/>
  <c r="N157" i="1"/>
  <c r="K159" i="1"/>
  <c r="L157" i="1"/>
  <c r="M157" i="1"/>
  <c r="K157" i="1"/>
  <c r="O159" i="1"/>
  <c r="M159" i="1"/>
  <c r="O157" i="1"/>
  <c r="L159" i="1"/>
  <c r="J157" i="1"/>
  <c r="B105" i="1"/>
  <c r="B132" i="1"/>
  <c r="B150" i="8" l="1"/>
  <c r="C18" i="6"/>
  <c r="B162" i="9"/>
  <c r="C4" i="11"/>
  <c r="C5" i="11" s="1"/>
  <c r="B154" i="10"/>
  <c r="I12" i="11"/>
  <c r="L12" i="11" s="1"/>
  <c r="F163" i="10" s="1"/>
  <c r="I11" i="11"/>
  <c r="L11" i="11" s="1"/>
  <c r="E163" i="10" s="1"/>
  <c r="I13" i="11"/>
  <c r="L13" i="11" s="1"/>
  <c r="G163" i="10" s="1"/>
  <c r="I7" i="11"/>
  <c r="L7" i="11" s="1"/>
  <c r="G161" i="10" s="1"/>
  <c r="I10" i="11"/>
  <c r="L10" i="11" s="1"/>
  <c r="D163" i="10" s="1"/>
  <c r="I9" i="11"/>
  <c r="L9" i="11" s="1"/>
  <c r="C163" i="10" s="1"/>
  <c r="I8" i="11"/>
  <c r="L8" i="11" s="1"/>
  <c r="B163" i="10" s="1"/>
  <c r="I5" i="11"/>
  <c r="L5" i="11" s="1"/>
  <c r="E161" i="10" s="1"/>
  <c r="I6" i="11"/>
  <c r="L6" i="11" s="1"/>
  <c r="F161" i="10" s="1"/>
  <c r="I3" i="11"/>
  <c r="L3" i="11" s="1"/>
  <c r="C161" i="10" s="1"/>
  <c r="I2" i="11"/>
  <c r="L2" i="11" s="1"/>
  <c r="B161" i="10" s="1"/>
  <c r="P2" i="3" s="1"/>
  <c r="I4" i="11"/>
  <c r="L4" i="11" s="1"/>
  <c r="D161" i="10" s="1"/>
  <c r="K139" i="1"/>
  <c r="D22" i="6"/>
  <c r="F157" i="8" s="1"/>
  <c r="D21" i="6"/>
  <c r="E157" i="8" s="1"/>
  <c r="D20" i="6"/>
  <c r="D157" i="8" s="1"/>
  <c r="D18" i="6"/>
  <c r="D19" i="6"/>
  <c r="C157" i="8" s="1"/>
  <c r="E18" i="6"/>
  <c r="E19" i="6"/>
  <c r="E22" i="6"/>
  <c r="E20" i="6"/>
  <c r="E21" i="6"/>
  <c r="E29" i="6"/>
  <c r="E28" i="6"/>
  <c r="E27" i="6"/>
  <c r="C23" i="6"/>
  <c r="C21" i="6"/>
  <c r="C29" i="6"/>
  <c r="C24" i="6"/>
  <c r="C22" i="6"/>
  <c r="C25" i="6"/>
  <c r="C26" i="6"/>
  <c r="C27" i="6"/>
  <c r="C19" i="6"/>
  <c r="C28" i="6"/>
  <c r="C20" i="6"/>
  <c r="E23" i="6"/>
  <c r="E24" i="6"/>
  <c r="E25" i="6"/>
  <c r="E26" i="6"/>
  <c r="D26" i="6"/>
  <c r="D159" i="8" s="1"/>
  <c r="D25" i="6"/>
  <c r="C159" i="8" s="1"/>
  <c r="D24" i="6"/>
  <c r="B159" i="8" s="1"/>
  <c r="D23" i="6"/>
  <c r="G157" i="8" s="1"/>
  <c r="D28" i="6"/>
  <c r="F159" i="8" s="1"/>
  <c r="D27" i="6"/>
  <c r="E159" i="8" s="1"/>
  <c r="D29" i="6"/>
  <c r="G159" i="8" s="1"/>
  <c r="B150" i="9"/>
  <c r="V2" i="3" l="1"/>
  <c r="BC2" i="13"/>
  <c r="W2" i="3"/>
  <c r="BD2" i="13"/>
  <c r="X2" i="3"/>
  <c r="BE2" i="13"/>
  <c r="U2" i="3"/>
  <c r="BB2" i="13"/>
  <c r="AA2" i="3"/>
  <c r="BH2" i="13"/>
  <c r="Y2" i="3"/>
  <c r="BF2" i="13"/>
  <c r="Z2" i="3"/>
  <c r="BG2" i="13"/>
  <c r="R2" i="3"/>
  <c r="AY2" i="13"/>
  <c r="O2" i="3"/>
  <c r="AV2" i="13"/>
  <c r="AW2" i="13"/>
  <c r="Q2" i="3"/>
  <c r="AX2" i="13"/>
  <c r="T2" i="3"/>
  <c r="BA2" i="13"/>
  <c r="S2" i="3"/>
  <c r="AZ2" i="13"/>
  <c r="B8" i="11" a="1"/>
  <c r="B8" i="11" s="1"/>
  <c r="L14" i="11"/>
  <c r="C30" i="6"/>
  <c r="B157" i="8"/>
  <c r="D30" i="6"/>
  <c r="E30" i="6"/>
  <c r="D159" i="9"/>
  <c r="C159" i="9"/>
  <c r="G159" i="9"/>
  <c r="F157" i="9"/>
  <c r="B157" i="9"/>
  <c r="E159" i="9"/>
  <c r="C157" i="9"/>
  <c r="G157" i="9"/>
  <c r="D157" i="9"/>
  <c r="E157" i="9"/>
  <c r="F159" i="9"/>
  <c r="B159" i="9"/>
  <c r="B225" i="1"/>
  <c r="E17" i="11" l="1"/>
  <c r="B54" i="1"/>
  <c r="B144" i="1" s="1"/>
  <c r="B78" i="1"/>
  <c r="B135" i="1" l="1"/>
  <c r="B138" i="1"/>
  <c r="B111" i="1"/>
  <c r="B84" i="1"/>
  <c r="B108" i="1"/>
  <c r="B81" i="1"/>
  <c r="H84" i="1" l="1"/>
  <c r="K84" i="1"/>
  <c r="B150" i="1"/>
  <c r="M140" i="1" s="1"/>
  <c r="B147" i="1"/>
  <c r="O140" i="1" l="1"/>
  <c r="N140" i="1"/>
  <c r="G1" i="6"/>
  <c r="H1" i="6" s="1"/>
  <c r="B157" i="1"/>
  <c r="N144" i="1"/>
  <c r="E160" i="1"/>
  <c r="F157" i="1"/>
  <c r="N146" i="1"/>
  <c r="E157" i="1"/>
  <c r="C160" i="1"/>
  <c r="G160" i="1"/>
  <c r="B160" i="1"/>
  <c r="F160" i="1"/>
  <c r="R155" i="1"/>
  <c r="S155" i="1" s="1"/>
  <c r="G157" i="1"/>
  <c r="D160" i="1"/>
  <c r="D157" i="1"/>
  <c r="C157" i="1"/>
  <c r="N145" i="1"/>
  <c r="G3" i="6"/>
  <c r="H3" i="6" s="1"/>
  <c r="M141" i="1"/>
  <c r="M142" i="1"/>
  <c r="G2" i="6"/>
  <c r="H2" i="6" s="1"/>
  <c r="O142" i="1" l="1"/>
  <c r="N142" i="1"/>
  <c r="N141" i="1"/>
  <c r="O141" i="1"/>
  <c r="C8" i="11"/>
</calcChain>
</file>

<file path=xl/comments1.xml><?xml version="1.0" encoding="utf-8"?>
<comments xmlns="http://schemas.openxmlformats.org/spreadsheetml/2006/main">
  <authors>
    <author>Autor</author>
  </authors>
  <commentList>
    <comment ref="B157" authorId="0" shapeId="0">
      <text>
        <r>
          <rPr>
            <b/>
            <sz val="9"/>
            <color indexed="81"/>
            <rFont val="Segoe UI"/>
            <family val="2"/>
            <charset val="238"/>
          </rPr>
          <t>Autor:</t>
        </r>
        <r>
          <rPr>
            <sz val="9"/>
            <color indexed="81"/>
            <rFont val="Segoe UI"/>
            <family val="2"/>
            <charset val="238"/>
          </rPr>
          <t xml:space="preserve">
tu len treba vlozit aby to bolo ocistene a pocitane podla cenoveho rozhodnutia medzi 1.1. a 31.5.
</t>
        </r>
      </text>
    </comment>
    <comment ref="F157" authorId="0" shapeId="0">
      <text>
        <r>
          <rPr>
            <b/>
            <sz val="9"/>
            <color indexed="81"/>
            <rFont val="Segoe UI"/>
            <family val="2"/>
            <charset val="238"/>
          </rPr>
          <t>Autor:</t>
        </r>
        <r>
          <rPr>
            <sz val="9"/>
            <color indexed="81"/>
            <rFont val="Segoe UI"/>
            <family val="2"/>
            <charset val="238"/>
          </rPr>
          <t xml:space="preserve">
tu som to dal ako pomer z celkovej vysky nahrady a nasobok sumy z bunky B150. Dokopy to sedi ak je cely rok nemenny avsak medzi mesiacmi ak sa zmeni cenove rozhodnutie, moze sa stat, ze vacsia cast sa bud preplati alebo nevyplati ako bol narok. Potreboval by som naviazat obdobie vybrane v ziadosti povedzme E60 a F60 a dane cenove rozhodnutie za dany mesiac uplatnil za jan-maj. Nasledne v juni by som chcel aby uz bolo nove a priradil tomu aj vahu. Je to v podstate co si uz robil ale akokolvek skusam, stale zlyhavam :)</t>
        </r>
      </text>
    </comment>
  </commentList>
</comments>
</file>

<file path=xl/comments2.xml><?xml version="1.0" encoding="utf-8"?>
<comments xmlns="http://schemas.openxmlformats.org/spreadsheetml/2006/main">
  <authors>
    <author>Autor</author>
  </authors>
  <commentList>
    <comment ref="F157" authorId="0" shapeId="0">
      <text>
        <r>
          <rPr>
            <b/>
            <sz val="9"/>
            <color indexed="81"/>
            <rFont val="Segoe UI"/>
            <family val="2"/>
            <charset val="238"/>
          </rPr>
          <t>Autor:</t>
        </r>
        <r>
          <rPr>
            <sz val="9"/>
            <color indexed="81"/>
            <rFont val="Segoe UI"/>
            <family val="2"/>
            <charset val="238"/>
          </rPr>
          <t xml:space="preserve">
tu som to dal ako pomer z celkovej vysky nahrady a nasobok sumy z bunky B150. Dokopy to sedi ak je cely rok nemenny avsak medzi mesiacmi ak sa zmeni cenove rozhodnutie, moze sa stat, ze vacsia cast sa bud preplati alebo nevyplati ako bol narok. Potreboval by som naviazat obdobie vybrane v ziadosti povedzme E60 a F60 a dane cenove rozhodnutie za dany mesiac uplatnil za jan-maj. Nasledne v juni by som chcel aby uz bolo nove a priradil tomu aj vahu. Je to v podstate co si uz robil ale akokolvek skusam, stale zlyhavam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<sst xmlns="http://schemas.openxmlformats.org/spreadsheetml/2006/main" count="854" uniqueCount="323">
  <si>
    <t>IČO</t>
  </si>
  <si>
    <t>Právna forma</t>
  </si>
  <si>
    <t>Adresa sídla/miesta podnikania</t>
  </si>
  <si>
    <t>Ulica</t>
  </si>
  <si>
    <t>Súpisné číslo</t>
  </si>
  <si>
    <t>Orientačné číslo</t>
  </si>
  <si>
    <t>PSČ</t>
  </si>
  <si>
    <t>Obec</t>
  </si>
  <si>
    <t>Okres</t>
  </si>
  <si>
    <t>Meno</t>
  </si>
  <si>
    <t>Priezvisko</t>
  </si>
  <si>
    <t>Bankové spojenie (IBAN)</t>
  </si>
  <si>
    <t>Názov alebo obchodné meno</t>
  </si>
  <si>
    <t>Údaje o žiadateľovi</t>
  </si>
  <si>
    <t>Poznámka</t>
  </si>
  <si>
    <t>Osoba s právom konať v mene žiadateľa</t>
  </si>
  <si>
    <t>DIČ</t>
  </si>
  <si>
    <t>Vyhlásenie žiadateľa o splnení podmienok</t>
  </si>
  <si>
    <r>
      <t xml:space="preserve"> </t>
    </r>
    <r>
      <rPr>
        <b/>
        <sz val="11"/>
        <color theme="1"/>
        <rFont val="Symbol"/>
        <family val="1"/>
        <charset val="2"/>
      </rPr>
      <t>+/-</t>
    </r>
  </si>
  <si>
    <t>E-mailová adresa</t>
  </si>
  <si>
    <t>IČ DPH (ak je žiadateľ platca DPH)</t>
  </si>
  <si>
    <t xml:space="preserve">Číslo cenového rozhodnutia </t>
  </si>
  <si>
    <t xml:space="preserve">január </t>
  </si>
  <si>
    <t xml:space="preserve">február </t>
  </si>
  <si>
    <t xml:space="preserve">marec </t>
  </si>
  <si>
    <t>apríl</t>
  </si>
  <si>
    <t>máj</t>
  </si>
  <si>
    <t xml:space="preserve">jún </t>
  </si>
  <si>
    <t xml:space="preserve">júl </t>
  </si>
  <si>
    <t xml:space="preserve">august </t>
  </si>
  <si>
    <t xml:space="preserve">september </t>
  </si>
  <si>
    <t xml:space="preserve"> október </t>
  </si>
  <si>
    <t>november</t>
  </si>
  <si>
    <t xml:space="preserve">december </t>
  </si>
  <si>
    <t>IČ DPH</t>
  </si>
  <si>
    <t>Variabilný symbol</t>
  </si>
  <si>
    <t>Ekonomická klasifikácia</t>
  </si>
  <si>
    <t>číslo žiadosti</t>
  </si>
  <si>
    <r>
      <t xml:space="preserve">Nebol mi právoplatne uložený trest zákazu prijímať dotácie alebo subvencie alebo trest zákazu prijímať pomoc a podporu poskytovanú z fondov Európskej únie podľa ust. § 17 a </t>
    </r>
    <r>
      <rPr>
        <sz val="11"/>
        <rFont val="Calibri"/>
        <family val="2"/>
        <charset val="238"/>
      </rPr>
      <t>§</t>
    </r>
    <r>
      <rPr>
        <sz val="11"/>
        <rFont val="Calibri"/>
        <family val="2"/>
      </rPr>
      <t xml:space="preserve"> 18 Zákona č. 91/2016 Z. z. o trestnej zodpovednosti právnických osôb a o zmene a doplnení niektorých zákonov v znení neskorších predpisov.</t>
    </r>
  </si>
  <si>
    <t>Nie je voči mne vedené konkurzné konanie, nie som v konkurze, v reštrukturalizácii a nebol proti mne zamietnutý návrh na vyhlásenie konkurzu pre nedostatok majetku.</t>
  </si>
  <si>
    <r>
      <t></t>
    </r>
    <r>
      <rPr>
        <sz val="11"/>
        <rFont val="Calibri"/>
        <family val="2"/>
        <charset val="238"/>
        <scheme val="minor"/>
      </rPr>
      <t>Nie som</t>
    </r>
    <r>
      <rPr>
        <sz val="8.8000000000000007"/>
        <rFont val="Calibri"/>
        <family val="2"/>
        <charset val="238"/>
        <scheme val="minor"/>
      </rPr>
      <t xml:space="preserve"> </t>
    </r>
    <r>
      <rPr>
        <sz val="11"/>
        <rFont val="Calibri"/>
        <family val="2"/>
        <charset val="238"/>
        <scheme val="minor"/>
      </rPr>
      <t>podnikom, na ktorý sa vzťahujú sankcie, ktoré prijala EÚ v dôsledku agresie Ruska proti Ukrajine.</t>
    </r>
  </si>
  <si>
    <r>
      <t xml:space="preserve"> </t>
    </r>
    <r>
      <rPr>
        <sz val="11"/>
        <rFont val="Calibri"/>
        <family val="2"/>
        <charset val="238"/>
        <scheme val="minor"/>
      </rPr>
      <t>Nie som osoba, subjekt alebo orgán konkrétne uvedený v právnych aktoch, ktorými sa ukladajú sankcie, ktoré prijala EÚ v dôsledku agresie Ruska proti Ukrajine.</t>
    </r>
  </si>
  <si>
    <t>Nie som podnikom vo vlastníctve alebo pod kontrolou osôb, subjektov alebo orgánov, na ktoré sú zamerané sankcie, ktoré prijala EÚ v dôsledku agresie Ruska proti Ukrajine.</t>
  </si>
  <si>
    <t>Nie som podnikom pôsobiacim v priemyselných odvetviach, na ktoré sú zamerané sankcie, ktoré prijala EÚ a táto pomoc nevedie k mareniu cieľov príslušných sankcií.</t>
  </si>
  <si>
    <t>Vyhlasujem, že údaje uvedené v žiadosti, vrátane údajov pre výpočet dotácie, sú pravdivé, presné a úplné a spĺňam podmienky stanovené v príslušnej výzve na predkladanie žiadostí.</t>
  </si>
  <si>
    <t>Som si vedomý právnych dôsledkov nepravdivého vyhlásenia o skutočnostiach uvedených v žiadosti podľa zákona č. 372/1990 Z. z. o priestupkoch v znení neskorších predpisov vrátane trestnoprávnych dôsledkov podľa zákona č. 300/2005 Z. z. Trestného zákona v znení neskorších predpisov.</t>
  </si>
  <si>
    <t>Som si vedomý, že v prípade preukázania nepravdivosti údajov uvedených v žiadosti som povinný dotáciu bezodkladne vrátiť poskytovateľovi.</t>
  </si>
  <si>
    <t>Súhlasím so spracovaním osobných údajov podľa Zákona č. 18/2018 Z. z. o ochrane osobných údajov a o zmene a doplnení niektorých zákonov.</t>
  </si>
  <si>
    <t>Výzva na doplnenie</t>
  </si>
  <si>
    <t>Číslo spisu Fabasoft</t>
  </si>
  <si>
    <t xml:space="preserve">Maximálna jednozložková hodnota ceny tepla pre bytové objekty (Eur/MWh s DPH) </t>
  </si>
  <si>
    <t xml:space="preserve">Súhlasím s možnosťou poskytnutia údajov, ktoré boli Úradu pre reguláciu sieťových odvetví (ďalej len "Úrad") poskytnuté ako podklad návrhu ceny tepla pre rok 2022 a pre rok 2023 v zmysle § 7 vyhlášky Úradu pre reguláciu sieťových odvetví č. 248/2016 Z.z., ktorou sa ustanovuje cenová regulácia v tepelnej energetike v znení neskorších predpisov (ďalej len "vyhláška č. 248/2016 Z.z.") a v zmysle § 7 vyhlášky Úradu pre reguláciu sieťových odvetví č. 312/2022 Z.z., ktorou sa ustanovuje cenová regulácia v tepelnej energetike (ďalej len "vyhláška č. 312/2022 Z.z.") a údajov poskytnutých Úradu podľa  paragrafu 8 vyhlášky Úradu č. 248/2016 Z.z. a paragrafu 8 vyhlášky Úradu č. 312/2022 Z.z., pre Ministerstvo hospodárstva SR, na účel kontroly výšky dotácie. </t>
  </si>
  <si>
    <t>Údaje konečného užívateľa výhod, ak výška dotácie presahuje 100 000 EUR</t>
  </si>
  <si>
    <t>Bánovce nad Bebravou</t>
  </si>
  <si>
    <t>Banská Bystrica</t>
  </si>
  <si>
    <t>Banská Štiavnica</t>
  </si>
  <si>
    <t>Bardejov</t>
  </si>
  <si>
    <t>Bratislava I</t>
  </si>
  <si>
    <t>Bratislava II</t>
  </si>
  <si>
    <t>Bratislava III</t>
  </si>
  <si>
    <t>Bratislava IV</t>
  </si>
  <si>
    <t>Bratislava V</t>
  </si>
  <si>
    <t>Brezno</t>
  </si>
  <si>
    <t>Bytča</t>
  </si>
  <si>
    <t>Čadca</t>
  </si>
  <si>
    <t>Detva</t>
  </si>
  <si>
    <t>Dolný Kubín</t>
  </si>
  <si>
    <t>Dunajská Streda</t>
  </si>
  <si>
    <t>Galanta</t>
  </si>
  <si>
    <t>Gelnica</t>
  </si>
  <si>
    <t>Hlohovec</t>
  </si>
  <si>
    <t>Humenné</t>
  </si>
  <si>
    <t>Ilava</t>
  </si>
  <si>
    <t>Kežmarok</t>
  </si>
  <si>
    <t>Komárno</t>
  </si>
  <si>
    <t>Košice - okolie</t>
  </si>
  <si>
    <t>Košice I</t>
  </si>
  <si>
    <t>Košice II</t>
  </si>
  <si>
    <t>Košice III</t>
  </si>
  <si>
    <t>Košice IV</t>
  </si>
  <si>
    <t>Krupina</t>
  </si>
  <si>
    <t>Kysucké Nové Mesto</t>
  </si>
  <si>
    <t>Levice</t>
  </si>
  <si>
    <t>Levoča</t>
  </si>
  <si>
    <t>Liptovský Mikuláš</t>
  </si>
  <si>
    <t>Lučenec</t>
  </si>
  <si>
    <t>Malacky</t>
  </si>
  <si>
    <t>Martin</t>
  </si>
  <si>
    <t>Medzilaborce</t>
  </si>
  <si>
    <t>Michalovce</t>
  </si>
  <si>
    <t>Myjava</t>
  </si>
  <si>
    <t>Námestovo</t>
  </si>
  <si>
    <t>Nitra</t>
  </si>
  <si>
    <t>Nové Mesto nad Váhom</t>
  </si>
  <si>
    <t>Nové Zámky</t>
  </si>
  <si>
    <t>Partizánske</t>
  </si>
  <si>
    <t>Pezinok</t>
  </si>
  <si>
    <t>Piešťany</t>
  </si>
  <si>
    <t>Poltár</t>
  </si>
  <si>
    <t>Poprad</t>
  </si>
  <si>
    <t>Považská Bystrica</t>
  </si>
  <si>
    <t>Prešov</t>
  </si>
  <si>
    <t>Prievidza</t>
  </si>
  <si>
    <t>Púchov</t>
  </si>
  <si>
    <t>Revúca</t>
  </si>
  <si>
    <t>Rimavská Sobota</t>
  </si>
  <si>
    <t>Rožňava</t>
  </si>
  <si>
    <t>Ružomberok</t>
  </si>
  <si>
    <t>Sabinov</t>
  </si>
  <si>
    <t>Senec</t>
  </si>
  <si>
    <t>Senica</t>
  </si>
  <si>
    <t>Skalica</t>
  </si>
  <si>
    <t>Snina</t>
  </si>
  <si>
    <t>Sobrance</t>
  </si>
  <si>
    <t>Spišská Nová Ves</t>
  </si>
  <si>
    <t>Stará Ľubovňa</t>
  </si>
  <si>
    <t>Stropkov</t>
  </si>
  <si>
    <t>Svidník</t>
  </si>
  <si>
    <t>Šaľa</t>
  </si>
  <si>
    <t>Topoľčany</t>
  </si>
  <si>
    <t>Trebišov</t>
  </si>
  <si>
    <t>Trenčín</t>
  </si>
  <si>
    <t>Trnava</t>
  </si>
  <si>
    <t>Turčianske Teplice</t>
  </si>
  <si>
    <t>Tvrdošín</t>
  </si>
  <si>
    <t>Veľký Krtíš</t>
  </si>
  <si>
    <t>Vranov nad Topľou</t>
  </si>
  <si>
    <t>Zlaté Moravce</t>
  </si>
  <si>
    <t>Zvolen</t>
  </si>
  <si>
    <t>Žarnovica</t>
  </si>
  <si>
    <t>Žiar nad Hronom</t>
  </si>
  <si>
    <t>Žilina</t>
  </si>
  <si>
    <t>Meno 1</t>
  </si>
  <si>
    <t>Priezvisko 1</t>
  </si>
  <si>
    <t>Meno 2</t>
  </si>
  <si>
    <t>Priezvisko 2</t>
  </si>
  <si>
    <t>Meno 3</t>
  </si>
  <si>
    <t>Priezvisko 3</t>
  </si>
  <si>
    <t>Meno 4</t>
  </si>
  <si>
    <t>Priezvisko 4</t>
  </si>
  <si>
    <t>Meno 5</t>
  </si>
  <si>
    <t>Priezvisko 5</t>
  </si>
  <si>
    <t>Meno 6</t>
  </si>
  <si>
    <t>Priezvisko 6</t>
  </si>
  <si>
    <t>Meno 7</t>
  </si>
  <si>
    <t>Priezvisko 7</t>
  </si>
  <si>
    <t>Meno 8</t>
  </si>
  <si>
    <t>Priezvisko 8</t>
  </si>
  <si>
    <t>Meno 9</t>
  </si>
  <si>
    <t>Priezvisko 9</t>
  </si>
  <si>
    <t>Meno 10</t>
  </si>
  <si>
    <t>Priezvisko 10</t>
  </si>
  <si>
    <t>SK2020158789</t>
  </si>
  <si>
    <t>COM-therm, spol. s r.o.</t>
  </si>
  <si>
    <t>spoločnosť s ručeným obmedzením</t>
  </si>
  <si>
    <t>Miletičova</t>
  </si>
  <si>
    <t>821 09</t>
  </si>
  <si>
    <t>Bratislava</t>
  </si>
  <si>
    <t>Lajos</t>
  </si>
  <si>
    <t>Csonka</t>
  </si>
  <si>
    <t>teplo@comtherm.sk, ekon@comtherm.sk</t>
  </si>
  <si>
    <t>SK40 1111 0000 0066 1207 2002</t>
  </si>
  <si>
    <t>0419/2023/T</t>
  </si>
  <si>
    <t>0049/2022/T</t>
  </si>
  <si>
    <t xml:space="preserve">Jozef </t>
  </si>
  <si>
    <t>Konczer</t>
  </si>
  <si>
    <t xml:space="preserve">Ľudovít </t>
  </si>
  <si>
    <t>ÁNO</t>
  </si>
  <si>
    <t>platnosť  od</t>
  </si>
  <si>
    <t>platnosť  do</t>
  </si>
  <si>
    <t>Objednané množstvo tepla (celkové) (kWh)</t>
  </si>
  <si>
    <t>Cenová lokalita</t>
  </si>
  <si>
    <t>Objednané množstvo tepla po dobu platnosti rozhodnutia (celkové) (kWh)</t>
  </si>
  <si>
    <t>Žiadosť o poskytnutie náhrady na pokrytie rozdielu medzi cenou tepla na rok 2024 schválenou alebo určenou ÚRSO a cenou určenou podľa § 1 nariadenia vlády SR č. ...../ .... Z.z.</t>
  </si>
  <si>
    <t xml:space="preserve">Celková výška náhrady (Eur) </t>
  </si>
  <si>
    <t xml:space="preserve">Rozdelenie celkovej náhrady podľa jednotlivých mesiacov podľa prílohy 2 vyhlášky MH SR č. 503/2022 Z.z. </t>
  </si>
  <si>
    <t>Cenové rozhodnutia ÚRSO platné pre rok - 2024</t>
  </si>
  <si>
    <t>Posledné platné cenové rozhodnutie ÚRSO na rok 2022</t>
  </si>
  <si>
    <t>Maximálna cena tepla a celková výška náhrady za rok 2024</t>
  </si>
  <si>
    <t>Výška úhrady na základe údajov cenového rozhodnutia ÚRSO</t>
  </si>
  <si>
    <t>(RP) Regulačný príkon (kW)</t>
  </si>
  <si>
    <t>(VZ) Variabilná zložka (Eur/kWh)</t>
  </si>
  <si>
    <t>(FZ) Fixná zložka (Eur/kW)</t>
  </si>
  <si>
    <t>(JH) Jednozložková hodnota ceny tepla 2022  podľa paragrafu 1 ods. 2 nariadenia  (Eur/MWh s DPH)</t>
  </si>
  <si>
    <t>Objednané množstvo tepla pre bytové objekty, ZSS, ZSODaK, ŠD po dobu platnosti rozhodnutia  (kWh)</t>
  </si>
  <si>
    <t xml:space="preserve">(JH) Jednozložková hodnota ceny tepla 2024 podľa § 1 ods. 2 nariadenia  (Eur/MWh s DPH) </t>
  </si>
  <si>
    <t xml:space="preserve">(VZmax) Maximálna variabilná zložka po dobu platnosti cenového rozhodnutia (Eur/kWh bez DPH) </t>
  </si>
  <si>
    <t xml:space="preserve">priemerná Maximálna variabilná zložka (Eur/MWh s DPH) </t>
  </si>
  <si>
    <t>januar</t>
  </si>
  <si>
    <t>februar</t>
  </si>
  <si>
    <t>marec</t>
  </si>
  <si>
    <t>jún</t>
  </si>
  <si>
    <t>júl</t>
  </si>
  <si>
    <t>august</t>
  </si>
  <si>
    <t>september</t>
  </si>
  <si>
    <t>október</t>
  </si>
  <si>
    <t>december</t>
  </si>
  <si>
    <t>Coefficient</t>
  </si>
  <si>
    <t>January</t>
  </si>
  <si>
    <t>February</t>
  </si>
  <si>
    <t>March</t>
  </si>
  <si>
    <t>April</t>
  </si>
  <si>
    <t>May</t>
  </si>
  <si>
    <t>June</t>
  </si>
  <si>
    <t>July</t>
  </si>
  <si>
    <t>August</t>
  </si>
  <si>
    <t>September</t>
  </si>
  <si>
    <t>October</t>
  </si>
  <si>
    <t>November</t>
  </si>
  <si>
    <t>December</t>
  </si>
  <si>
    <t>Month No</t>
  </si>
  <si>
    <t>podiel</t>
  </si>
  <si>
    <t>tu by mala byt suma za januar podla cenoveho rozhodnutia ktore plati v obdobi december 1774762,05018067€*(hodnota za december 16,1% ale, v tomto pripade musime brat do uvahy pomer decembra voci aktualne platnemu cenovemu rozhodnutiu v ktorom sa nachadza, teda pokial je v danom obdobi za december vydane rozhodnutie za oktober-december, potom treba  vydelit vahou oktobra, novembra a decembra v danom obdobi, teda v tomto pripade to je 100/36,1(sucet vah)*vahu za december a vyjde 0,4459(VAHA DECEMBRA MEDZI OKTOBROM A DECEMBROM*1774762,05EUR )=791514,37€vedla v tabulke vyslo, ze alikvotne ak by sme scitali vsetky dotacie a dali to podla vah, mal by za december dostat 570 000€ ale podla takto prepocitaneho by mal dostat 791 514 €(bunka I17 na harku 2)</t>
  </si>
  <si>
    <t>tu by mala byt suma za januar podla cenoveho rozhodnutia ktore plati v obdobi januar, teda podiel januara na obdobi medzi jan-maj je 30,82%, co je ak vynasobime ocakavanym cenovym rozhodnutim za obdobie jan-maj z celkovych 1577820, 35€*30,82%=486333,42€, co je menej ako by mal dostat podla nejakych priemernych vah z tabulky nalavo (tam dostal 623 125€ a mal dostat len 486333,42€)</t>
  </si>
  <si>
    <t>dobreä</t>
  </si>
  <si>
    <t>spravne za januar</t>
  </si>
  <si>
    <t>pri vyplnenom 1</t>
  </si>
  <si>
    <t>pri vyplnených 2</t>
  </si>
  <si>
    <t>pri vyplnených 3</t>
  </si>
  <si>
    <t>súčet</t>
  </si>
  <si>
    <t>Podiel Mesiaca</t>
  </si>
  <si>
    <t>Suma Koeficienta za Obdobie</t>
  </si>
  <si>
    <t>Suma koeficienta</t>
  </si>
  <si>
    <t>Mesiac</t>
  </si>
  <si>
    <t>Koeficient</t>
  </si>
  <si>
    <t>Cislo mesiaca</t>
  </si>
  <si>
    <t>Platnost  od</t>
  </si>
  <si>
    <t>Platnost  do</t>
  </si>
  <si>
    <t>Vyska uhrady</t>
  </si>
  <si>
    <t>Rozdelenie celkovej nahrady</t>
  </si>
  <si>
    <t>Validacia</t>
  </si>
  <si>
    <t>Suma Rozdelenie celkovej nahrady</t>
  </si>
  <si>
    <t>Vysledok kalkulacie</t>
  </si>
  <si>
    <t>Suma Vyska uhrady</t>
  </si>
  <si>
    <t>Počet dní za ktoré sa počíta kompenzácia</t>
  </si>
  <si>
    <t>Posledné platné cenové rozhodnutie ÚRSO pre rok 2022</t>
  </si>
  <si>
    <t xml:space="preserve">Rozdelenie celkovej úhrady podľa jednotlivých mesiacov podľa prílohy 2 vyhlášky MH SR č. 503/2022 Z.z. </t>
  </si>
  <si>
    <t xml:space="preserve">Súhlasím s možnosťou poskytnutia údajov, ktoré boli Úradu pre reguláciu sieťových odvetví (ďalej len "Úrad") poskytnuté ako podklad návrhu ceny tepla pre rok 2022 a pre rok 2023 v zmysle § 7 vyhlášky Úradu pre reguláciu sieťových odvetví č. 248/2016 Z.z., ktorou sa ustanovuje cenová regulácia v tepelnej energetike v znení neskorších predpisov (ďalej len "vyhláška č. 248/2016 Z.z.") a v zmysle § 7 vyhlášky Úradu pre reguláciu sieťových odvetví č. 312/2022 Z.z., ktorou sa ustanovuje cenová regulácia v tepelnej energetike (ďalej len "vyhláška č. 312/2022 Z.z.") a údajov poskytnutých Úradu podľa  paragrafu 8 vyhlášky Úradu č. 248/2016 Z.z. a paragrafu 8 vyhlášky Úradu č. 312/2022 Z.z., pre Ministerstvo hospodárstva SR, na účel kontroly výšky úhrady. </t>
  </si>
  <si>
    <t>Neporušil som predchádzajúcich troch rokoch zákaz nelegálneho zamestnávania podľa osobitného predpisu</t>
  </si>
  <si>
    <t xml:space="preserve">Nemám evidované nedoplatky na poistnom na sociálne poistenie a zdravotná poisťovňa voči mne neeviduje pohľadávky </t>
  </si>
  <si>
    <t>Nie je voči mne vedený výkon rozhodnutia</t>
  </si>
  <si>
    <t>Vyhlasujem, že mám vysporiadané vzťahy so štátnym rozpočtom</t>
  </si>
  <si>
    <t>Vyhlasujem, že nemám právoplatne uložený trest zákazu prijímať dotácie alebo subvencie</t>
  </si>
  <si>
    <t>Vyhlasujem, že údaje uvedené v žiadosti, vrátane údajov pre výpočet úhrady, sú pravdivé, presné a úplné a spĺňam podmienky stanovené v príslušnej výzve na predkladanie žiadostí.</t>
  </si>
  <si>
    <t>Som si vedomý, že v prípade preukázania nepravdivosti údajov uvedených v žiadosti som povinný úhradu bezodkladne vrátiť poskytovateľovi.</t>
  </si>
  <si>
    <t xml:space="preserve">Prvé cenové rozhodnutie </t>
  </si>
  <si>
    <t>Druhé cenové rozhodnutie</t>
  </si>
  <si>
    <t>Tretie cenové rozhodnutie</t>
  </si>
  <si>
    <t>Celková výška úhrady</t>
  </si>
  <si>
    <t>Január</t>
  </si>
  <si>
    <t>Február</t>
  </si>
  <si>
    <t>Marec</t>
  </si>
  <si>
    <t>Apríl</t>
  </si>
  <si>
    <t>Máj</t>
  </si>
  <si>
    <t>Jún</t>
  </si>
  <si>
    <t>Júl</t>
  </si>
  <si>
    <t>Október</t>
  </si>
  <si>
    <t xml:space="preserve">(VZmaxn) Maximálna variabilná zložka po dobu platnosti cenového rozhodnutia (Eur/kWh bez DPH) </t>
  </si>
  <si>
    <t xml:space="preserve">(Vzmax) priemerná Maximálna variabilná zložka (Eur/MWh bez DPH) </t>
  </si>
  <si>
    <t>Celková výška úhrady  (v EUR s DPH)</t>
  </si>
  <si>
    <t>Výška úhrady na základe údajov cenového rozhodnutia ÚRSO (v EUR s DPH)</t>
  </si>
  <si>
    <t>Výška úhrady na základe údajov cenového rozhodnutia ÚRSO  (v EUR s DPH)</t>
  </si>
  <si>
    <t>Zvoliť možnosť</t>
  </si>
  <si>
    <t>(RP) Regulačný príkon (kW) 2022</t>
  </si>
  <si>
    <t>Objednané množstvo tepla (celkové) (kWh) 2022</t>
  </si>
  <si>
    <t>Vzmaxn Priemerná maximálna variabilná zložka    (Eur/MWh bez DPH)</t>
  </si>
  <si>
    <t>Celková výška úhrady (Eur s DPH)</t>
  </si>
  <si>
    <t>Meno hodnotiteľa</t>
  </si>
  <si>
    <t>(VZ) Variabilná zložka (Eur/kWh bez DPH)</t>
  </si>
  <si>
    <t>(FZ) Fixná zložka (Eur/kW bez DPH)</t>
  </si>
  <si>
    <t xml:space="preserve">   </t>
  </si>
  <si>
    <t>Cenové rozhodnutia ÚRSO platné pre rok 2026</t>
  </si>
  <si>
    <t>platnosť v roku 2026  od</t>
  </si>
  <si>
    <t>Maximálna cena tepla a celková výška úhrady za rok 2026</t>
  </si>
  <si>
    <t xml:space="preserve">(JHmax) Maximálna jednozložková hodnota ceny tepla pre ZSS, ZSODaK, ŠD (Eur/MWh s DPH) </t>
  </si>
  <si>
    <t>Údaje konečného užívateľa výhod, ak výška úhrada presahuje 100 000 EUR (ak má žiadateľ počas roka 2026 viacero cenových lokalít, súčet úhrad pre všetky lokality sa započítava do limitu 100 000 EUR)</t>
  </si>
  <si>
    <t xml:space="preserve">Žiadosť o poskytnutie úhrady na pokrytie rozdielu ceny tepla na rok 2026 </t>
  </si>
  <si>
    <t>Zaslané oznámenie o schválení úhrady</t>
  </si>
  <si>
    <t>Číslo cenového rozhodnutia ÚRSO 2026/1</t>
  </si>
  <si>
    <t>(RP) Regulačný príkon (kW) 2026/1</t>
  </si>
  <si>
    <t>(FZ) Fixná zložka (Eur/kW) 2026/1 bez DPH</t>
  </si>
  <si>
    <t>Objednané množstvo tepla po dobu platnosti CR (celkové) (kWh) 2026/1</t>
  </si>
  <si>
    <t>JH 2026/1 (Eur/MWh s DPH)</t>
  </si>
  <si>
    <t>(VZmaxn) Maximálna variabilná zložka po dobu platnosti CR 2026/1 (Eur/kWh bez DPH)</t>
  </si>
  <si>
    <t>Výška úhrady na základe údajov CR 2026/1 ÚRSO (v Eur s DPH)</t>
  </si>
  <si>
    <t>Číslo cenového rozhodnutia ÚRSO 2026/2</t>
  </si>
  <si>
    <t>(RP) Regulačný príkon (kW) 2026/2</t>
  </si>
  <si>
    <t>(FZ) Fixná zložka (Eur/kW) 2026/2 bez DPH</t>
  </si>
  <si>
    <t>Objednané množstvo tepla po dobu platnosti CR (celkové)  (kWh) 2026/2</t>
  </si>
  <si>
    <t>JH 2026/2 (Eur/MWh s DPH)</t>
  </si>
  <si>
    <t>(VZmaxn) Maximálna variabilná zložka po dobu platnosti CR 2026/2 (Eur/kWh bez DPH)</t>
  </si>
  <si>
    <t>Výška úhrady na základe údajov CR 2026/2 ÚRSO (v Eur s DPH)</t>
  </si>
  <si>
    <t>Číslo cenového rozhodnutia ÚRSO 2026/3</t>
  </si>
  <si>
    <t>(RP) Regulačný príkon (kW) 2026/3</t>
  </si>
  <si>
    <t>(FZ) Fixná zložka (Eur/kW) bez DPH 2026/3</t>
  </si>
  <si>
    <t>Objednané množstvo tepla po dobu platnosti CR (celkové)  (kWh) 2026/3</t>
  </si>
  <si>
    <t>JH 2026/3 (Eur/MWh s DPH)</t>
  </si>
  <si>
    <t>(VZmaxn) Maximálna variabilná zložka po dobu platnosti CR 2026/3 (Eur/kWh bez DPH)</t>
  </si>
  <si>
    <t>Výška úhrady na základe údajov CR 2026/3 ÚRSO (v Eur s DPH)</t>
  </si>
  <si>
    <t>súpisné číslo</t>
  </si>
  <si>
    <t>Osoba s právom konať v mene žiadateľa Meno</t>
  </si>
  <si>
    <t>Osoba s právom konať v mene žiadateľa Priezvisko</t>
  </si>
  <si>
    <t>Osoba s právom konať          v mene žiadateľa                                          Email</t>
  </si>
  <si>
    <t xml:space="preserve">         platnosť v roku           2026   do</t>
  </si>
  <si>
    <t xml:space="preserve">        platnosť v roku          2026 do</t>
  </si>
  <si>
    <t xml:space="preserve">         platnosť v roku          2026 do</t>
  </si>
  <si>
    <t xml:space="preserve">(JH) Jednozložková hodnota ceny tepla po dobu platnosti cenového rozhodnutia  (Eur/MWh s DPH) </t>
  </si>
  <si>
    <t>v EUR s DPH</t>
  </si>
  <si>
    <t>doplnená žiadosť prijatá dňa</t>
  </si>
  <si>
    <t>potvrdenie o vykonaní finančnej kontroly</t>
  </si>
  <si>
    <t>Objednané množstvo tepla pre vybrané byt. budovy, ZSS, ZSODaK, ŠD po dobu platnosti rozhodnutia  (kWh)</t>
  </si>
  <si>
    <t>Objednané množstvo tepla pre vybrané byt budovy, ZSS, ZSODaK, ŠD po dobu platnosti rozhodnutia  (kWh)</t>
  </si>
  <si>
    <t>Číslo cenového rozhodnutia ÚRSO 2022</t>
  </si>
  <si>
    <t>JH 2022
(v EUR s DPH)</t>
  </si>
  <si>
    <t>Objednané množstvo tepla pre vybrané bytové budovy, ZSS, ZSODaK, ŠD po dobu platnosti  CR (kWh) 2026/1</t>
  </si>
  <si>
    <t>(VZ) Variabilná     zložka (Eur/kWh) 
2022 bez DPH</t>
  </si>
  <si>
    <t>(FZ) Fixná zložka (Eur/kW) 2022 bez DPH</t>
  </si>
  <si>
    <t>(VZ) Variabilná zložka (Eur/kWh) 2026/1 bez DPH</t>
  </si>
  <si>
    <t>(VZ) Variabilná zložka (Eur/kWh)
2026/2 bez DPH</t>
  </si>
  <si>
    <t xml:space="preserve">(VZ) Variabilná zložka (Eur/kWh bez DPH) 2026/3 </t>
  </si>
  <si>
    <t>Objednané množstvo tepla pre vybrané bytové budovy, ZSS, ZSODaK, ŠD po dobu platnosti  CR (kWh) 2026/3</t>
  </si>
  <si>
    <t>(Jhmax) Maximálna jednozložková hodnota ceny tepla pre vybrané bytové budovy, ZSS, ZSODaK, ŠD (Eur/MWh s DPH)</t>
  </si>
  <si>
    <t>Objednané množstvo tepla pre vybrané bytové budovy, ZSS, ZSODaK, ŠD po dobu platnosti  CR (kWh) 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</si>
</sst>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 #,##0.00_-;_-* &quot;-&quot;??_-;_-@_-"/>
    <numFmt numFmtId="164" formatCode="_(* #,##0.00_);_(* \(#,##0.00\);_(* &quot;-&quot;??_);_(@_)"/>
    <numFmt numFmtId="165" formatCode="0.00000"/>
    <numFmt numFmtId="166" formatCode="#,##0.0000000000\ &quot;€&quot;"/>
    <numFmt numFmtId="167" formatCode="_-* #,##0.0000_-;\-* #,##0.0000_-;_-* &quot;-&quot;??_-;_-@_-"/>
    <numFmt numFmtId="168" formatCode="0.0000"/>
    <numFmt numFmtId="169" formatCode="#,##0.0000"/>
    <numFmt numFmtId="170" formatCode="_-* #,##0.0000\ _€_-;\-* #,##0.0000\ _€_-;_-* &quot;-&quot;????\ _€_-;_-@_-"/>
    <numFmt numFmtId="171" formatCode="0.000"/>
    <numFmt numFmtId="172" formatCode="0.000000000000000%"/>
    <numFmt numFmtId="173" formatCode="#,##0.000"/>
    <numFmt numFmtId="174" formatCode="#,##0.00_ ;\-#,##0.00\ "/>
  </numFmts>
  <fonts count="41"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11"/>
      <color theme="1"/>
      <name val="Calibri"/>
      <family val="2"/>
      <charset val="238"/>
    </font>
    <font>
      <b/>
      <sz val="11"/>
      <color theme="1"/>
      <name val="Symbol"/>
      <family val="1"/>
      <charset val="2"/>
    </font>
    <font>
      <b/>
      <sz val="11"/>
      <color theme="1"/>
      <name val="Calibri"/>
      <family val="2"/>
      <scheme val="minor"/>
    </font>
    <font>
      <sz val="11"/>
      <color theme="1"/>
      <name val="Calibri"/>
      <family val="2"/>
      <charset val="238"/>
    </font>
    <font>
      <b/>
      <sz val="14"/>
      <color theme="1"/>
      <name val="Calibri"/>
      <family val="2"/>
      <charset val="238"/>
      <scheme val="minor"/>
    </font>
    <font>
      <sz val="14"/>
      <color theme="1"/>
      <name val="Calibri"/>
      <family val="2"/>
      <charset val="238"/>
      <scheme val="minor"/>
    </font>
    <font>
      <b/>
      <sz val="12"/>
      <color theme="1"/>
      <name val="Calibri"/>
      <family val="2"/>
      <charset val="238"/>
      <scheme val="minor"/>
    </font>
    <font>
      <sz val="11"/>
      <color rgb="FFFF0000"/>
      <name val="Calibri"/>
      <family val="2"/>
      <scheme val="minor"/>
    </font>
    <font>
      <b/>
      <sz val="11"/>
      <name val="Calibri"/>
      <family val="2"/>
      <charset val="238"/>
      <scheme val="minor"/>
    </font>
    <font>
      <sz val="11"/>
      <name val="Calibri"/>
      <family val="2"/>
      <scheme val="minor"/>
    </font>
    <font>
      <b/>
      <sz val="14"/>
      <name val="Calibri"/>
      <family val="2"/>
      <charset val="238"/>
      <scheme val="minor"/>
    </font>
    <font>
      <sz val="14"/>
      <name val="Calibri"/>
      <family val="2"/>
      <charset val="238"/>
      <scheme val="minor"/>
    </font>
    <font>
      <b/>
      <sz val="12"/>
      <name val="Calibri"/>
      <family val="2"/>
      <charset val="238"/>
      <scheme val="minor"/>
    </font>
    <font>
      <sz val="12"/>
      <name val="Calibri"/>
      <family val="2"/>
      <charset val="238"/>
      <scheme val="minor"/>
    </font>
    <font>
      <b/>
      <sz val="11"/>
      <name val="Calibri"/>
      <family val="2"/>
      <charset val="238"/>
    </font>
    <font>
      <b/>
      <sz val="11"/>
      <name val="Calibri"/>
      <family val="2"/>
      <scheme val="minor"/>
    </font>
    <font>
      <sz val="11"/>
      <name val="Calibri"/>
      <family val="2"/>
    </font>
    <font>
      <sz val="11"/>
      <name val="Calibri"/>
      <family val="2"/>
      <charset val="238"/>
    </font>
    <font>
      <sz val="11"/>
      <name val="Calibri"/>
      <family val="2"/>
      <charset val="238"/>
      <scheme val="minor"/>
    </font>
    <font>
      <sz val="8.8000000000000007"/>
      <name val="Calibri"/>
      <family val="2"/>
      <charset val="238"/>
      <scheme val="minor"/>
    </font>
    <font>
      <b/>
      <sz val="9"/>
      <name val="Calibri"/>
      <family val="2"/>
      <charset val="238"/>
    </font>
    <font>
      <b/>
      <sz val="9"/>
      <name val="Calibri"/>
      <family val="2"/>
      <charset val="238"/>
      <scheme val="minor"/>
    </font>
    <font>
      <b/>
      <sz val="12"/>
      <color rgb="FFFF0000"/>
      <name val="Calibri"/>
      <family val="2"/>
    </font>
    <font>
      <b/>
      <sz val="12"/>
      <color rgb="FFFF0000"/>
      <name val="Calibri"/>
      <family val="2"/>
      <scheme val="minor"/>
    </font>
    <font>
      <sz val="10"/>
      <color theme="1"/>
      <name val="Arial"/>
      <family val="2"/>
    </font>
    <font>
      <sz val="11"/>
      <color theme="1"/>
      <name val="Calibri"/>
      <family val="2"/>
      <scheme val="minor"/>
    </font>
    <font>
      <sz val="8"/>
      <name val="Calibri"/>
      <family val="2"/>
      <scheme val="minor"/>
    </font>
    <font>
      <sz val="9"/>
      <color indexed="81"/>
      <name val="Segoe UI"/>
      <family val="2"/>
      <charset val="238"/>
    </font>
    <font>
      <b/>
      <sz val="9"/>
      <color indexed="81"/>
      <name val="Segoe UI"/>
      <family val="2"/>
      <charset val="238"/>
    </font>
    <font>
      <b/>
      <sz val="11"/>
      <color rgb="FFFF0000"/>
      <name val="Calibri"/>
      <family val="2"/>
      <charset val="238"/>
      <scheme val="minor"/>
    </font>
    <font>
      <sz val="28"/>
      <color theme="1"/>
      <name val="Calibri"/>
      <family val="2"/>
      <scheme val="minor"/>
    </font>
    <font>
      <sz val="16"/>
      <color theme="1"/>
      <name val="Calibri"/>
      <family val="2"/>
      <scheme val="minor"/>
    </font>
    <font>
      <sz val="11"/>
      <color rgb="FFFFFFFF"/>
      <name val="Courier New"/>
      <family val="3"/>
    </font>
    <font>
      <b/>
      <sz val="13"/>
      <name val="Calibri"/>
      <family val="2"/>
      <charset val="238"/>
      <scheme val="minor"/>
    </font>
    <font>
      <sz val="26"/>
      <color theme="1"/>
      <name val="Agency FB"/>
      <family val="2"/>
    </font>
  </fonts>
  <fills count="16">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39997558519241921"/>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rgb="FFFF0000"/>
      </bottom>
      <diagonal/>
    </border>
    <border>
      <left/>
      <right/>
      <top style="medium">
        <color rgb="FFFF0000"/>
      </top>
      <bottom/>
      <diagonal/>
    </border>
    <border>
      <left/>
      <right/>
      <top/>
      <bottom style="medium">
        <color indexed="64"/>
      </bottom>
      <diagonal/>
    </border>
    <border>
      <left style="thin">
        <color indexed="64"/>
      </left>
      <right/>
      <top style="thin">
        <color indexed="64"/>
      </top>
      <bottom style="thin">
        <color indexed="64"/>
      </bottom>
      <diagonal/>
    </border>
  </borders>
  <cellStyleXfs count="5">
    <xf numFmtId="0" fontId="0" fillId="0" borderId="0"/>
    <xf numFmtId="0" fontId="30" fillId="0" borderId="0"/>
    <xf numFmtId="43" fontId="31" fillId="0" borderId="0" applyFont="0" applyFill="0" applyBorder="0" applyAlignment="0" applyProtection="0"/>
    <xf numFmtId="9" fontId="31" fillId="0" borderId="0" applyFont="0" applyFill="0" applyBorder="0" applyAlignment="0" applyProtection="0"/>
    <xf numFmtId="0" fontId="31" fillId="0" borderId="0"/>
  </cellStyleXfs>
  <cellXfs count="234">
    <xf numFmtId="0" fontId="0" fillId="0" borderId="0" xfId="0"/>
    <xf numFmtId="0" fontId="5" fillId="0" borderId="0" xfId="0" applyFont="1"/>
    <xf numFmtId="0" fontId="4" fillId="0" borderId="0" xfId="0" applyFont="1"/>
    <xf numFmtId="0" fontId="6" fillId="0" borderId="0" xfId="0" applyFont="1" applyAlignment="1">
      <alignment horizontal="right"/>
    </xf>
    <xf numFmtId="0" fontId="0" fillId="0" borderId="0" xfId="0" applyAlignment="1">
      <alignment horizontal="left" vertical="top" wrapText="1"/>
    </xf>
    <xf numFmtId="0" fontId="0" fillId="0" borderId="0" xfId="0" applyAlignment="1">
      <alignment horizontal="left"/>
    </xf>
    <xf numFmtId="0" fontId="8" fillId="0" borderId="0" xfId="0" applyFont="1"/>
    <xf numFmtId="0" fontId="3" fillId="0" borderId="0" xfId="0" applyFont="1"/>
    <xf numFmtId="0" fontId="5" fillId="0" borderId="0" xfId="0" applyFont="1" applyAlignment="1">
      <alignment horizontal="center" vertical="center"/>
    </xf>
    <xf numFmtId="0" fontId="0" fillId="0" borderId="0" xfId="0" applyAlignment="1">
      <alignment horizontal="left" vertical="top"/>
    </xf>
    <xf numFmtId="0" fontId="5" fillId="0" borderId="0" xfId="0" applyFont="1" applyAlignment="1">
      <alignment horizontal="center"/>
    </xf>
    <xf numFmtId="0" fontId="10" fillId="3" borderId="0" xfId="0" applyFont="1" applyFill="1"/>
    <xf numFmtId="0" fontId="11" fillId="0" borderId="0" xfId="0" applyFont="1"/>
    <xf numFmtId="49" fontId="5" fillId="0" borderId="0" xfId="0" applyNumberFormat="1" applyFont="1" applyAlignment="1">
      <alignment horizontal="center"/>
    </xf>
    <xf numFmtId="0" fontId="13" fillId="0" borderId="0" xfId="0" applyFont="1"/>
    <xf numFmtId="0" fontId="14" fillId="0" borderId="0" xfId="0" applyFont="1"/>
    <xf numFmtId="0" fontId="15" fillId="0" borderId="0" xfId="0" applyFont="1"/>
    <xf numFmtId="0" fontId="16" fillId="3" borderId="0" xfId="0" applyFont="1" applyFill="1"/>
    <xf numFmtId="0" fontId="17" fillId="3" borderId="0" xfId="0" applyFont="1" applyFill="1"/>
    <xf numFmtId="0" fontId="17" fillId="0" borderId="0" xfId="0" applyFont="1"/>
    <xf numFmtId="0" fontId="15" fillId="3" borderId="0" xfId="0" applyFont="1" applyFill="1"/>
    <xf numFmtId="0" fontId="18" fillId="0" borderId="0" xfId="0" applyFont="1" applyAlignment="1">
      <alignment horizontal="left" vertical="center"/>
    </xf>
    <xf numFmtId="0" fontId="18" fillId="0" borderId="0" xfId="0" applyFont="1" applyAlignment="1">
      <alignment horizontal="right" vertical="center"/>
    </xf>
    <xf numFmtId="0" fontId="19" fillId="0" borderId="0" xfId="0" applyFont="1" applyAlignment="1">
      <alignment horizontal="left" vertical="center"/>
    </xf>
    <xf numFmtId="49" fontId="18" fillId="0" borderId="0" xfId="0" applyNumberFormat="1" applyFont="1" applyAlignment="1">
      <alignment horizontal="center" vertical="center"/>
    </xf>
    <xf numFmtId="49" fontId="18" fillId="0" borderId="0" xfId="0" applyNumberFormat="1" applyFont="1" applyAlignment="1">
      <alignment horizontal="left" vertical="center"/>
    </xf>
    <xf numFmtId="49" fontId="14" fillId="0" borderId="0" xfId="0" applyNumberFormat="1" applyFont="1" applyAlignment="1">
      <alignment horizontal="center"/>
    </xf>
    <xf numFmtId="0" fontId="20" fillId="0" borderId="0" xfId="0" applyFont="1" applyAlignment="1">
      <alignment horizontal="right"/>
    </xf>
    <xf numFmtId="0" fontId="21" fillId="0" borderId="0" xfId="0" applyFont="1"/>
    <xf numFmtId="0" fontId="22" fillId="0" borderId="0" xfId="0" applyFont="1" applyAlignment="1">
      <alignment horizontal="left" vertical="top" wrapText="1"/>
    </xf>
    <xf numFmtId="0" fontId="15" fillId="0" borderId="0" xfId="0" applyFont="1" applyAlignment="1">
      <alignment horizontal="left" vertical="top" wrapText="1"/>
    </xf>
    <xf numFmtId="0" fontId="23" fillId="0" borderId="0" xfId="0" applyFont="1" applyAlignment="1">
      <alignment horizontal="left" vertical="top" wrapText="1"/>
    </xf>
    <xf numFmtId="0" fontId="22" fillId="0" borderId="0" xfId="0" applyFont="1" applyAlignment="1">
      <alignment horizontal="left" wrapText="1"/>
    </xf>
    <xf numFmtId="0" fontId="15" fillId="0" borderId="0" xfId="0" applyFont="1" applyAlignment="1">
      <alignment horizontal="left" wrapText="1"/>
    </xf>
    <xf numFmtId="0" fontId="26" fillId="4" borderId="7" xfId="0" applyFont="1" applyFill="1" applyBorder="1" applyAlignment="1">
      <alignment horizontal="center" vertical="center" wrapText="1"/>
    </xf>
    <xf numFmtId="0" fontId="27" fillId="5" borderId="7" xfId="0" applyFont="1" applyFill="1" applyBorder="1" applyAlignment="1">
      <alignment horizontal="center" vertical="center" wrapText="1"/>
    </xf>
    <xf numFmtId="2" fontId="26" fillId="4" borderId="7" xfId="0" applyNumberFormat="1" applyFont="1" applyFill="1" applyBorder="1" applyAlignment="1">
      <alignment horizontal="center" vertical="center" wrapText="1"/>
    </xf>
    <xf numFmtId="0" fontId="0" fillId="6" borderId="1" xfId="0" applyFill="1" applyBorder="1" applyProtection="1">
      <protection locked="0"/>
    </xf>
    <xf numFmtId="0" fontId="6" fillId="6" borderId="1" xfId="0" applyFont="1" applyFill="1" applyBorder="1" applyAlignment="1" applyProtection="1">
      <alignment horizontal="right"/>
      <protection locked="0"/>
    </xf>
    <xf numFmtId="0" fontId="15" fillId="6" borderId="1" xfId="0" applyFont="1" applyFill="1" applyBorder="1" applyProtection="1">
      <protection locked="0"/>
    </xf>
    <xf numFmtId="0" fontId="0" fillId="6" borderId="0" xfId="0" applyFill="1" applyProtection="1">
      <protection locked="0"/>
    </xf>
    <xf numFmtId="0" fontId="0" fillId="0" borderId="0" xfId="0" applyProtection="1">
      <protection locked="0"/>
    </xf>
    <xf numFmtId="0" fontId="22" fillId="0" borderId="0" xfId="1" applyFont="1"/>
    <xf numFmtId="167" fontId="0" fillId="0" borderId="0" xfId="2" applyNumberFormat="1" applyFont="1" applyFill="1"/>
    <xf numFmtId="168" fontId="0" fillId="0" borderId="0" xfId="0" applyNumberFormat="1"/>
    <xf numFmtId="0" fontId="14" fillId="0" borderId="9" xfId="0" applyFont="1" applyBorder="1" applyAlignment="1" applyProtection="1">
      <alignment horizontal="left"/>
      <protection locked="0"/>
    </xf>
    <xf numFmtId="0" fontId="15" fillId="0" borderId="0" xfId="0" applyFont="1" applyAlignment="1">
      <alignment horizontal="left"/>
    </xf>
    <xf numFmtId="2" fontId="15" fillId="0" borderId="0" xfId="0" applyNumberFormat="1" applyFont="1" applyAlignment="1" applyProtection="1">
      <alignment horizontal="left"/>
      <protection locked="0"/>
    </xf>
    <xf numFmtId="0" fontId="18" fillId="0" borderId="0" xfId="0" applyFont="1"/>
    <xf numFmtId="0" fontId="19" fillId="0" borderId="0" xfId="0" applyFont="1"/>
    <xf numFmtId="0" fontId="15" fillId="0" borderId="0" xfId="0" applyFont="1" applyAlignment="1" applyProtection="1">
      <alignment horizontal="left"/>
      <protection locked="0"/>
    </xf>
    <xf numFmtId="0" fontId="0" fillId="0" borderId="9" xfId="0" applyBorder="1" applyAlignment="1" applyProtection="1">
      <alignment horizontal="left"/>
      <protection locked="0"/>
    </xf>
    <xf numFmtId="0" fontId="0" fillId="0" borderId="0" xfId="0" applyAlignment="1">
      <alignment horizontal="center"/>
    </xf>
    <xf numFmtId="169" fontId="15" fillId="0" borderId="0" xfId="0" applyNumberFormat="1" applyFont="1" applyAlignment="1">
      <alignment horizontal="left"/>
    </xf>
    <xf numFmtId="0" fontId="11" fillId="3" borderId="0" xfId="0" applyFont="1" applyFill="1"/>
    <xf numFmtId="0" fontId="10" fillId="0" borderId="0" xfId="0" applyFont="1"/>
    <xf numFmtId="0" fontId="16" fillId="0" borderId="0" xfId="0" applyFont="1"/>
    <xf numFmtId="165" fontId="15" fillId="0" borderId="0" xfId="0" applyNumberFormat="1" applyFont="1" applyAlignment="1">
      <alignment horizontal="left"/>
    </xf>
    <xf numFmtId="14" fontId="14" fillId="6" borderId="1" xfId="0" applyNumberFormat="1" applyFont="1" applyFill="1" applyBorder="1" applyAlignment="1" applyProtection="1">
      <alignment horizontal="right"/>
      <protection locked="0"/>
    </xf>
    <xf numFmtId="14" fontId="14" fillId="6" borderId="4" xfId="0" applyNumberFormat="1" applyFont="1" applyFill="1" applyBorder="1" applyAlignment="1" applyProtection="1">
      <alignment horizontal="right"/>
      <protection locked="0"/>
    </xf>
    <xf numFmtId="167" fontId="15" fillId="0" borderId="3" xfId="2" applyNumberFormat="1" applyFont="1" applyBorder="1" applyAlignment="1">
      <alignment horizontal="left" vertical="center" readingOrder="1"/>
    </xf>
    <xf numFmtId="167" fontId="15" fillId="0" borderId="4" xfId="2" applyNumberFormat="1" applyFont="1" applyBorder="1" applyAlignment="1">
      <alignment horizontal="left" vertical="center" readingOrder="1"/>
    </xf>
    <xf numFmtId="167" fontId="15" fillId="0" borderId="2" xfId="2" applyNumberFormat="1" applyFont="1" applyBorder="1" applyAlignment="1">
      <alignment horizontal="justify" vertical="top" readingOrder="1"/>
    </xf>
    <xf numFmtId="10" fontId="0" fillId="0" borderId="0" xfId="0" applyNumberFormat="1"/>
    <xf numFmtId="170" fontId="0" fillId="0" borderId="0" xfId="0" applyNumberFormat="1"/>
    <xf numFmtId="164" fontId="13" fillId="0" borderId="0" xfId="0" applyNumberFormat="1" applyFont="1"/>
    <xf numFmtId="164" fontId="0" fillId="0" borderId="0" xfId="0" applyNumberFormat="1"/>
    <xf numFmtId="0" fontId="18" fillId="7" borderId="7" xfId="0" applyFont="1" applyFill="1" applyBorder="1" applyAlignment="1">
      <alignment horizontal="center" vertical="center"/>
    </xf>
    <xf numFmtId="0" fontId="12" fillId="7" borderId="7" xfId="0" applyFont="1" applyFill="1" applyBorder="1" applyAlignment="1">
      <alignment horizontal="center" vertical="center"/>
    </xf>
    <xf numFmtId="0" fontId="5" fillId="7" borderId="7" xfId="0" applyFont="1" applyFill="1" applyBorder="1" applyAlignment="1">
      <alignment horizontal="center" vertical="center"/>
    </xf>
    <xf numFmtId="0" fontId="18" fillId="7" borderId="0" xfId="0" applyFont="1" applyFill="1" applyAlignment="1">
      <alignment horizontal="center" vertical="center"/>
    </xf>
    <xf numFmtId="0" fontId="5" fillId="7" borderId="0" xfId="0" applyFont="1" applyFill="1" applyAlignment="1">
      <alignment horizontal="center"/>
    </xf>
    <xf numFmtId="0" fontId="18" fillId="7" borderId="10" xfId="0" applyFont="1" applyFill="1" applyBorder="1" applyAlignment="1">
      <alignment horizontal="center" vertical="center"/>
    </xf>
    <xf numFmtId="0" fontId="0" fillId="8" borderId="0" xfId="0" applyFill="1" applyAlignment="1">
      <alignment wrapText="1"/>
    </xf>
    <xf numFmtId="10" fontId="0" fillId="0" borderId="0" xfId="3" applyNumberFormat="1" applyFont="1"/>
    <xf numFmtId="2" fontId="0" fillId="0" borderId="0" xfId="0" applyNumberFormat="1"/>
    <xf numFmtId="171" fontId="35" fillId="7" borderId="7" xfId="0" applyNumberFormat="1" applyFont="1" applyFill="1" applyBorder="1" applyAlignment="1">
      <alignment horizontal="center" vertical="center"/>
    </xf>
    <xf numFmtId="14" fontId="0" fillId="0" borderId="0" xfId="0" applyNumberFormat="1"/>
    <xf numFmtId="1" fontId="13" fillId="0" borderId="0" xfId="3" applyNumberFormat="1" applyFont="1"/>
    <xf numFmtId="0" fontId="0" fillId="0" borderId="11" xfId="0" applyBorder="1"/>
    <xf numFmtId="171" fontId="14" fillId="7" borderId="7" xfId="0" applyNumberFormat="1" applyFont="1" applyFill="1" applyBorder="1" applyAlignment="1">
      <alignment horizontal="center" vertical="center"/>
    </xf>
    <xf numFmtId="0" fontId="0" fillId="9" borderId="0" xfId="0" applyFill="1"/>
    <xf numFmtId="167" fontId="15" fillId="9" borderId="2" xfId="2" applyNumberFormat="1" applyFont="1" applyFill="1" applyBorder="1" applyAlignment="1">
      <alignment horizontal="justify" vertical="top" readingOrder="1"/>
    </xf>
    <xf numFmtId="167" fontId="15" fillId="9" borderId="3" xfId="2" applyNumberFormat="1" applyFont="1" applyFill="1" applyBorder="1" applyAlignment="1">
      <alignment horizontal="left" vertical="center" readingOrder="1"/>
    </xf>
    <xf numFmtId="167" fontId="15" fillId="9" borderId="4" xfId="2" applyNumberFormat="1" applyFont="1" applyFill="1" applyBorder="1" applyAlignment="1">
      <alignment horizontal="left" vertical="center" readingOrder="1"/>
    </xf>
    <xf numFmtId="1" fontId="13" fillId="9" borderId="0" xfId="3" applyNumberFormat="1" applyFont="1" applyFill="1"/>
    <xf numFmtId="0" fontId="0" fillId="9" borderId="0" xfId="0" applyFill="1" applyAlignment="1">
      <alignment horizontal="left" vertical="top"/>
    </xf>
    <xf numFmtId="172" fontId="0" fillId="0" borderId="0" xfId="0" applyNumberFormat="1"/>
    <xf numFmtId="0" fontId="18" fillId="0" borderId="0" xfId="0" applyFont="1" applyAlignment="1">
      <alignment horizontal="center" vertical="center"/>
    </xf>
    <xf numFmtId="2" fontId="18" fillId="0" borderId="0" xfId="0" applyNumberFormat="1" applyFont="1" applyAlignment="1">
      <alignment horizontal="center" vertical="center"/>
    </xf>
    <xf numFmtId="0" fontId="0" fillId="10" borderId="7" xfId="0" applyFill="1" applyBorder="1" applyProtection="1">
      <protection hidden="1"/>
    </xf>
    <xf numFmtId="0" fontId="0" fillId="0" borderId="0" xfId="0" applyProtection="1">
      <protection hidden="1"/>
    </xf>
    <xf numFmtId="14" fontId="0" fillId="0" borderId="7" xfId="0" applyNumberFormat="1" applyBorder="1" applyProtection="1">
      <protection hidden="1"/>
    </xf>
    <xf numFmtId="168" fontId="0" fillId="0" borderId="7" xfId="0" applyNumberFormat="1" applyBorder="1" applyProtection="1">
      <protection hidden="1"/>
    </xf>
    <xf numFmtId="10" fontId="0" fillId="0" borderId="7" xfId="0" applyNumberFormat="1" applyBorder="1" applyProtection="1">
      <protection hidden="1"/>
    </xf>
    <xf numFmtId="0" fontId="0" fillId="0" borderId="7" xfId="0" applyBorder="1" applyProtection="1">
      <protection hidden="1"/>
    </xf>
    <xf numFmtId="14" fontId="0" fillId="0" borderId="0" xfId="0" applyNumberFormat="1" applyProtection="1">
      <protection hidden="1"/>
    </xf>
    <xf numFmtId="168" fontId="0" fillId="2" borderId="7" xfId="0" applyNumberFormat="1" applyFill="1" applyBorder="1" applyProtection="1">
      <protection hidden="1"/>
    </xf>
    <xf numFmtId="10" fontId="0" fillId="2" borderId="7" xfId="0" applyNumberFormat="1" applyFill="1" applyBorder="1" applyProtection="1">
      <protection hidden="1"/>
    </xf>
    <xf numFmtId="0" fontId="0" fillId="8" borderId="0" xfId="0" applyFill="1" applyProtection="1">
      <protection hidden="1"/>
    </xf>
    <xf numFmtId="168" fontId="0" fillId="8" borderId="0" xfId="0" applyNumberFormat="1" applyFill="1" applyProtection="1">
      <protection hidden="1"/>
    </xf>
    <xf numFmtId="0" fontId="38" fillId="0" borderId="0" xfId="0" applyFont="1" applyProtection="1">
      <protection hidden="1"/>
    </xf>
    <xf numFmtId="0" fontId="0" fillId="2" borderId="7" xfId="0" applyFill="1" applyBorder="1" applyProtection="1">
      <protection hidden="1"/>
    </xf>
    <xf numFmtId="14" fontId="14" fillId="6" borderId="1" xfId="0" applyNumberFormat="1" applyFont="1" applyFill="1" applyBorder="1" applyAlignment="1" applyProtection="1">
      <alignment horizontal="right"/>
      <protection locked="0" hidden="1"/>
    </xf>
    <xf numFmtId="14" fontId="14" fillId="6" borderId="4" xfId="0" applyNumberFormat="1" applyFont="1" applyFill="1" applyBorder="1" applyAlignment="1" applyProtection="1">
      <alignment horizontal="right"/>
      <protection locked="0" hidden="1"/>
    </xf>
    <xf numFmtId="10" fontId="0" fillId="0" borderId="0" xfId="0" applyNumberFormat="1" applyProtection="1">
      <protection hidden="1"/>
    </xf>
    <xf numFmtId="10" fontId="0" fillId="0" borderId="0" xfId="3" applyNumberFormat="1" applyFont="1" applyProtection="1">
      <protection hidden="1"/>
    </xf>
    <xf numFmtId="0" fontId="0" fillId="0" borderId="11" xfId="0" applyBorder="1" applyProtection="1">
      <protection hidden="1"/>
    </xf>
    <xf numFmtId="0" fontId="11" fillId="0" borderId="0" xfId="0" applyFont="1" applyProtection="1">
      <protection hidden="1"/>
    </xf>
    <xf numFmtId="170" fontId="0" fillId="0" borderId="0" xfId="0" applyNumberFormat="1" applyProtection="1">
      <protection hidden="1"/>
    </xf>
    <xf numFmtId="164" fontId="0" fillId="0" borderId="0" xfId="0" applyNumberFormat="1" applyProtection="1">
      <protection hidden="1"/>
    </xf>
    <xf numFmtId="168" fontId="0" fillId="0" borderId="0" xfId="0" applyNumberFormat="1" applyProtection="1">
      <protection hidden="1"/>
    </xf>
    <xf numFmtId="49" fontId="5" fillId="0" borderId="0" xfId="0" applyNumberFormat="1" applyFont="1" applyAlignment="1" applyProtection="1">
      <alignment horizontal="center"/>
      <protection hidden="1"/>
    </xf>
    <xf numFmtId="2" fontId="0" fillId="0" borderId="0" xfId="0" applyNumberFormat="1" applyProtection="1">
      <protection hidden="1"/>
    </xf>
    <xf numFmtId="0" fontId="0" fillId="0" borderId="0" xfId="0" applyAlignment="1" applyProtection="1">
      <alignment horizontal="left" vertical="top" wrapText="1"/>
      <protection hidden="1"/>
    </xf>
    <xf numFmtId="0" fontId="0" fillId="0" borderId="0" xfId="0" applyAlignment="1" applyProtection="1">
      <alignment horizontal="left"/>
      <protection hidden="1"/>
    </xf>
    <xf numFmtId="0" fontId="0" fillId="0" borderId="0" xfId="0" applyAlignment="1" applyProtection="1">
      <alignment horizontal="left" vertical="top"/>
      <protection hidden="1"/>
    </xf>
    <xf numFmtId="0" fontId="18" fillId="0" borderId="7" xfId="0" applyFont="1" applyBorder="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0" fillId="0" borderId="15" xfId="0" applyBorder="1"/>
    <xf numFmtId="0" fontId="15" fillId="0" borderId="15" xfId="0" applyFont="1" applyBorder="1" applyAlignment="1">
      <alignment horizontal="left"/>
    </xf>
    <xf numFmtId="169" fontId="0" fillId="0" borderId="0" xfId="0" applyNumberFormat="1"/>
    <xf numFmtId="0" fontId="35" fillId="0" borderId="0" xfId="0" applyFont="1"/>
    <xf numFmtId="9" fontId="35" fillId="0" borderId="0" xfId="0" applyNumberFormat="1" applyFont="1" applyProtection="1">
      <protection hidden="1"/>
    </xf>
    <xf numFmtId="43" fontId="35" fillId="0" borderId="0" xfId="2" applyFont="1" applyProtection="1">
      <protection hidden="1"/>
    </xf>
    <xf numFmtId="0" fontId="18" fillId="0" borderId="0" xfId="4" applyFont="1" applyAlignment="1">
      <alignment horizontal="center" wrapText="1"/>
    </xf>
    <xf numFmtId="173" fontId="0" fillId="0" borderId="0" xfId="0" applyNumberFormat="1" applyProtection="1">
      <protection hidden="1"/>
    </xf>
    <xf numFmtId="49" fontId="0" fillId="6" borderId="1" xfId="0" applyNumberFormat="1" applyFill="1" applyBorder="1" applyProtection="1">
      <protection locked="0"/>
    </xf>
    <xf numFmtId="0" fontId="0" fillId="6" borderId="1" xfId="0" applyFill="1" applyBorder="1" applyAlignment="1" applyProtection="1">
      <alignment horizontal="left"/>
      <protection locked="0"/>
    </xf>
    <xf numFmtId="0" fontId="2" fillId="0" borderId="0" xfId="0" applyFont="1"/>
    <xf numFmtId="0" fontId="26" fillId="4" borderId="18" xfId="0" applyFont="1" applyFill="1" applyBorder="1" applyAlignment="1">
      <alignment horizontal="center" vertical="center" wrapText="1"/>
    </xf>
    <xf numFmtId="0" fontId="0" fillId="0" borderId="7" xfId="0" applyBorder="1"/>
    <xf numFmtId="0" fontId="26" fillId="12" borderId="7" xfId="0" applyFont="1" applyFill="1" applyBorder="1" applyAlignment="1">
      <alignment horizontal="center" vertical="center" wrapText="1"/>
    </xf>
    <xf numFmtId="0" fontId="26" fillId="6" borderId="7" xfId="0" applyFont="1" applyFill="1" applyBorder="1" applyAlignment="1">
      <alignment horizontal="center" vertical="center" wrapText="1"/>
    </xf>
    <xf numFmtId="0" fontId="26" fillId="13" borderId="7" xfId="0" applyFont="1" applyFill="1" applyBorder="1" applyAlignment="1">
      <alignment horizontal="center" vertical="center" wrapText="1"/>
    </xf>
    <xf numFmtId="0" fontId="26" fillId="14" borderId="7" xfId="0" applyFont="1" applyFill="1" applyBorder="1" applyAlignment="1">
      <alignment horizontal="center" vertical="center" wrapText="1"/>
    </xf>
    <xf numFmtId="0" fontId="26" fillId="15" borderId="7" xfId="0" applyFont="1" applyFill="1" applyBorder="1" applyAlignment="1">
      <alignment horizontal="center" vertical="center" wrapText="1"/>
    </xf>
    <xf numFmtId="2" fontId="26" fillId="15" borderId="7" xfId="0" applyNumberFormat="1" applyFont="1" applyFill="1" applyBorder="1" applyAlignment="1">
      <alignment horizontal="center" vertical="center" wrapText="1"/>
    </xf>
    <xf numFmtId="4" fontId="18" fillId="11" borderId="7" xfId="0" applyNumberFormat="1" applyFont="1" applyFill="1" applyBorder="1" applyAlignment="1" applyProtection="1">
      <alignment horizontal="center" vertical="center"/>
      <protection hidden="1"/>
    </xf>
    <xf numFmtId="49" fontId="15" fillId="6" borderId="1" xfId="0" applyNumberFormat="1" applyFont="1" applyFill="1" applyBorder="1" applyProtection="1">
      <protection locked="0"/>
    </xf>
    <xf numFmtId="0" fontId="0" fillId="0" borderId="0" xfId="0" applyFill="1"/>
    <xf numFmtId="0" fontId="9" fillId="0" borderId="0" xfId="0" applyFont="1" applyFill="1" applyAlignment="1">
      <alignment horizontal="left" vertical="top" wrapText="1"/>
    </xf>
    <xf numFmtId="0" fontId="0" fillId="0" borderId="0" xfId="0" applyFill="1" applyProtection="1">
      <protection locked="0"/>
    </xf>
    <xf numFmtId="0" fontId="0" fillId="0" borderId="0" xfId="0" applyFill="1" applyProtection="1">
      <protection hidden="1"/>
    </xf>
    <xf numFmtId="0" fontId="40" fillId="0" borderId="0" xfId="0" applyFont="1" applyAlignment="1">
      <alignment horizontal="left" vertical="top"/>
    </xf>
    <xf numFmtId="0" fontId="4" fillId="0" borderId="0" xfId="0" applyFont="1" applyAlignment="1">
      <alignment horizontal="left" vertical="center"/>
    </xf>
    <xf numFmtId="49" fontId="1" fillId="0" borderId="0" xfId="0" applyNumberFormat="1" applyFont="1"/>
    <xf numFmtId="49" fontId="1" fillId="0" borderId="0" xfId="0" applyNumberFormat="1" applyFont="1" applyFill="1"/>
    <xf numFmtId="166" fontId="15" fillId="0" borderId="2" xfId="0" applyNumberFormat="1" applyFont="1" applyBorder="1" applyAlignment="1">
      <alignment horizontal="left"/>
    </xf>
    <xf numFmtId="0" fontId="15" fillId="0" borderId="3" xfId="0" applyFont="1" applyBorder="1" applyAlignment="1">
      <alignment horizontal="left"/>
    </xf>
    <xf numFmtId="0" fontId="15" fillId="0" borderId="4" xfId="0" applyFont="1" applyBorder="1" applyAlignment="1">
      <alignment horizontal="left"/>
    </xf>
    <xf numFmtId="2" fontId="15" fillId="6" borderId="2" xfId="0" applyNumberFormat="1" applyFont="1" applyFill="1" applyBorder="1" applyAlignment="1" applyProtection="1">
      <alignment horizontal="left"/>
      <protection locked="0"/>
    </xf>
    <xf numFmtId="2" fontId="15" fillId="6" borderId="3" xfId="0" applyNumberFormat="1" applyFont="1" applyFill="1" applyBorder="1" applyAlignment="1" applyProtection="1">
      <alignment horizontal="left"/>
      <protection locked="0"/>
    </xf>
    <xf numFmtId="2" fontId="15" fillId="6" borderId="4" xfId="0" applyNumberFormat="1" applyFont="1" applyFill="1" applyBorder="1" applyAlignment="1" applyProtection="1">
      <alignment horizontal="left"/>
      <protection locked="0"/>
    </xf>
    <xf numFmtId="0" fontId="15" fillId="6" borderId="2" xfId="0" applyFont="1" applyFill="1" applyBorder="1" applyAlignment="1" applyProtection="1">
      <alignment horizontal="left"/>
      <protection locked="0"/>
    </xf>
    <xf numFmtId="0" fontId="15" fillId="6" borderId="3" xfId="0" applyFont="1" applyFill="1" applyBorder="1" applyAlignment="1" applyProtection="1">
      <alignment horizontal="left"/>
      <protection locked="0"/>
    </xf>
    <xf numFmtId="0" fontId="15" fillId="6" borderId="4" xfId="0" applyFont="1" applyFill="1" applyBorder="1" applyAlignment="1" applyProtection="1">
      <alignment horizontal="left"/>
      <protection locked="0"/>
    </xf>
    <xf numFmtId="0" fontId="0" fillId="6" borderId="2" xfId="0" applyFill="1" applyBorder="1" applyAlignment="1" applyProtection="1">
      <alignment horizontal="left"/>
      <protection locked="0"/>
    </xf>
    <xf numFmtId="0" fontId="0" fillId="6" borderId="4" xfId="0" applyFill="1" applyBorder="1" applyAlignment="1" applyProtection="1">
      <alignment horizontal="left"/>
      <protection locked="0"/>
    </xf>
    <xf numFmtId="49" fontId="0" fillId="6" borderId="2" xfId="0" applyNumberFormat="1" applyFill="1" applyBorder="1" applyAlignment="1" applyProtection="1">
      <alignment horizontal="left"/>
      <protection locked="0"/>
    </xf>
    <xf numFmtId="49" fontId="0" fillId="6" borderId="4" xfId="0" applyNumberFormat="1" applyFill="1" applyBorder="1" applyAlignment="1" applyProtection="1">
      <alignment horizontal="left"/>
      <protection locked="0"/>
    </xf>
    <xf numFmtId="0" fontId="8" fillId="6" borderId="2" xfId="0" applyFont="1" applyFill="1" applyBorder="1" applyProtection="1">
      <protection locked="0"/>
    </xf>
    <xf numFmtId="0" fontId="8" fillId="6" borderId="4" xfId="0" applyFont="1" applyFill="1" applyBorder="1" applyProtection="1">
      <protection locked="0"/>
    </xf>
    <xf numFmtId="0" fontId="15" fillId="0" borderId="2" xfId="0" applyFont="1" applyBorder="1" applyAlignment="1">
      <alignment horizontal="left"/>
    </xf>
    <xf numFmtId="0" fontId="0" fillId="0" borderId="0" xfId="0" applyAlignment="1">
      <alignment horizontal="left" vertical="top"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4" fillId="0" borderId="0" xfId="0" applyFont="1" applyAlignment="1">
      <alignment horizontal="center"/>
    </xf>
    <xf numFmtId="169" fontId="14" fillId="0" borderId="2" xfId="0" applyNumberFormat="1" applyFont="1" applyBorder="1" applyAlignment="1">
      <alignment horizontal="left"/>
    </xf>
    <xf numFmtId="169" fontId="14" fillId="0" borderId="8" xfId="0" applyNumberFormat="1" applyFont="1" applyBorder="1" applyAlignment="1">
      <alignment horizontal="left"/>
    </xf>
    <xf numFmtId="169" fontId="14" fillId="0" borderId="0" xfId="0" applyNumberFormat="1" applyFont="1" applyAlignment="1">
      <alignment horizontal="left"/>
    </xf>
    <xf numFmtId="0" fontId="14" fillId="6" borderId="2" xfId="0" applyFont="1" applyFill="1" applyBorder="1" applyAlignment="1" applyProtection="1">
      <alignment horizontal="left"/>
      <protection locked="0"/>
    </xf>
    <xf numFmtId="0" fontId="14" fillId="6" borderId="3" xfId="0" applyFont="1" applyFill="1" applyBorder="1" applyAlignment="1" applyProtection="1">
      <alignment horizontal="left"/>
      <protection locked="0"/>
    </xf>
    <xf numFmtId="0" fontId="22" fillId="0" borderId="0" xfId="0" applyFont="1" applyAlignment="1">
      <alignment horizontal="left" vertical="top" wrapText="1"/>
    </xf>
    <xf numFmtId="0" fontId="15" fillId="0" borderId="0" xfId="0" applyFont="1" applyAlignment="1">
      <alignment horizontal="left" vertical="top" wrapText="1"/>
    </xf>
    <xf numFmtId="0" fontId="0" fillId="6" borderId="3" xfId="0" applyFill="1" applyBorder="1" applyAlignment="1" applyProtection="1">
      <alignment horizontal="left"/>
      <protection locked="0"/>
    </xf>
    <xf numFmtId="0" fontId="5" fillId="6" borderId="2" xfId="0" applyFont="1" applyFill="1" applyBorder="1" applyAlignment="1" applyProtection="1">
      <alignment horizontal="left"/>
      <protection locked="0"/>
    </xf>
    <xf numFmtId="0" fontId="5" fillId="6" borderId="3" xfId="0" applyFont="1" applyFill="1" applyBorder="1" applyAlignment="1" applyProtection="1">
      <alignment horizontal="left"/>
      <protection locked="0"/>
    </xf>
    <xf numFmtId="0" fontId="5" fillId="6" borderId="4" xfId="0" applyFont="1" applyFill="1" applyBorder="1" applyAlignment="1" applyProtection="1">
      <alignment horizontal="left"/>
      <protection locked="0"/>
    </xf>
    <xf numFmtId="166" fontId="15" fillId="6" borderId="2" xfId="0" applyNumberFormat="1" applyFont="1" applyFill="1" applyBorder="1" applyAlignment="1" applyProtection="1">
      <alignment horizontal="left"/>
      <protection locked="0"/>
    </xf>
    <xf numFmtId="166" fontId="15" fillId="6" borderId="3" xfId="0" applyNumberFormat="1" applyFont="1" applyFill="1" applyBorder="1" applyAlignment="1" applyProtection="1">
      <alignment horizontal="left"/>
      <protection locked="0"/>
    </xf>
    <xf numFmtId="166" fontId="15" fillId="6" borderId="4" xfId="0" applyNumberFormat="1" applyFont="1" applyFill="1" applyBorder="1" applyAlignment="1" applyProtection="1">
      <alignment horizontal="left"/>
      <protection locked="0"/>
    </xf>
    <xf numFmtId="165" fontId="15" fillId="0" borderId="2" xfId="0" applyNumberFormat="1" applyFont="1" applyBorder="1" applyAlignment="1">
      <alignment horizontal="left"/>
    </xf>
    <xf numFmtId="165" fontId="15" fillId="0" borderId="3" xfId="0" applyNumberFormat="1" applyFont="1" applyBorder="1" applyAlignment="1">
      <alignment horizontal="left"/>
    </xf>
    <xf numFmtId="165" fontId="15" fillId="0" borderId="4" xfId="0" applyNumberFormat="1" applyFont="1" applyBorder="1" applyAlignment="1">
      <alignment horizontal="left"/>
    </xf>
    <xf numFmtId="0" fontId="9" fillId="0" borderId="0" xfId="0" applyFont="1" applyAlignment="1">
      <alignment horizontal="left" vertical="top"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28" fillId="0" borderId="0" xfId="0" applyFont="1" applyAlignment="1">
      <alignment horizontal="left" vertical="center"/>
    </xf>
    <xf numFmtId="0" fontId="29" fillId="0" borderId="0" xfId="0" applyFont="1" applyAlignment="1">
      <alignment horizontal="left" vertical="center"/>
    </xf>
    <xf numFmtId="0" fontId="0" fillId="0" borderId="0" xfId="0" applyAlignment="1">
      <alignment horizontal="left" vertical="top"/>
    </xf>
    <xf numFmtId="0" fontId="23" fillId="0" borderId="0" xfId="0" applyFont="1" applyAlignment="1">
      <alignment horizontal="left" vertical="top" wrapText="1"/>
    </xf>
    <xf numFmtId="0" fontId="24" fillId="0" borderId="0" xfId="0" applyFont="1" applyAlignment="1">
      <alignment horizontal="left" vertical="top" wrapText="1"/>
    </xf>
    <xf numFmtId="0" fontId="28" fillId="0" borderId="0" xfId="0" applyFont="1" applyAlignment="1" applyProtection="1">
      <alignment horizontal="left" vertical="center"/>
      <protection hidden="1"/>
    </xf>
    <xf numFmtId="0" fontId="29" fillId="0" borderId="0" xfId="0" applyFont="1" applyAlignment="1" applyProtection="1">
      <alignment horizontal="left" vertical="center"/>
      <protection hidden="1"/>
    </xf>
    <xf numFmtId="49" fontId="18" fillId="0" borderId="0" xfId="0" applyNumberFormat="1" applyFont="1" applyAlignment="1">
      <alignment horizontal="left" vertical="center" wrapText="1"/>
    </xf>
    <xf numFmtId="0" fontId="0" fillId="0" borderId="0" xfId="0" applyAlignment="1" applyProtection="1">
      <alignment horizontal="left" vertical="top" wrapText="1"/>
      <protection hidden="1"/>
    </xf>
    <xf numFmtId="0" fontId="0" fillId="0" borderId="0" xfId="0" applyAlignment="1" applyProtection="1">
      <alignment horizontal="left" vertical="top"/>
      <protection hidden="1"/>
    </xf>
    <xf numFmtId="174" fontId="35" fillId="0" borderId="2" xfId="2" applyNumberFormat="1" applyFont="1" applyBorder="1" applyAlignment="1" applyProtection="1">
      <alignment horizontal="left" readingOrder="1"/>
    </xf>
    <xf numFmtId="174" fontId="35" fillId="0" borderId="4" xfId="2" applyNumberFormat="1" applyFont="1" applyBorder="1" applyAlignment="1" applyProtection="1">
      <alignment horizontal="left" readingOrder="1"/>
    </xf>
    <xf numFmtId="169" fontId="15" fillId="0" borderId="2" xfId="0" applyNumberFormat="1" applyFont="1" applyBorder="1" applyAlignment="1" applyProtection="1">
      <alignment horizontal="left"/>
    </xf>
    <xf numFmtId="169" fontId="15" fillId="0" borderId="3" xfId="0" applyNumberFormat="1" applyFont="1" applyBorder="1" applyAlignment="1" applyProtection="1">
      <alignment horizontal="left"/>
    </xf>
    <xf numFmtId="169" fontId="15" fillId="0" borderId="4" xfId="0" applyNumberFormat="1" applyFont="1" applyBorder="1" applyAlignment="1" applyProtection="1">
      <alignment horizontal="left"/>
    </xf>
    <xf numFmtId="49" fontId="14" fillId="6" borderId="2" xfId="0" applyNumberFormat="1" applyFont="1" applyFill="1" applyBorder="1" applyAlignment="1" applyProtection="1">
      <alignment horizontal="left"/>
      <protection locked="0"/>
    </xf>
    <xf numFmtId="49" fontId="14" fillId="6" borderId="3" xfId="0" applyNumberFormat="1" applyFont="1" applyFill="1" applyBorder="1" applyAlignment="1" applyProtection="1">
      <alignment horizontal="left"/>
      <protection locked="0"/>
    </xf>
    <xf numFmtId="169" fontId="15" fillId="6" borderId="2" xfId="0" applyNumberFormat="1" applyFont="1" applyFill="1" applyBorder="1" applyAlignment="1" applyProtection="1">
      <alignment horizontal="left"/>
      <protection locked="0"/>
    </xf>
    <xf numFmtId="169" fontId="15" fillId="6" borderId="3" xfId="0" applyNumberFormat="1" applyFont="1" applyFill="1" applyBorder="1" applyAlignment="1" applyProtection="1">
      <alignment horizontal="left"/>
      <protection locked="0"/>
    </xf>
    <xf numFmtId="169" fontId="15" fillId="6" borderId="4" xfId="0" applyNumberFormat="1" applyFont="1" applyFill="1" applyBorder="1" applyAlignment="1" applyProtection="1">
      <alignment horizontal="left"/>
      <protection locked="0"/>
    </xf>
    <xf numFmtId="4" fontId="15" fillId="6" borderId="2" xfId="0" applyNumberFormat="1" applyFont="1" applyFill="1" applyBorder="1" applyAlignment="1" applyProtection="1">
      <alignment horizontal="left"/>
      <protection locked="0"/>
    </xf>
    <xf numFmtId="4" fontId="15" fillId="6" borderId="3" xfId="0" applyNumberFormat="1" applyFont="1" applyFill="1" applyBorder="1" applyAlignment="1" applyProtection="1">
      <alignment horizontal="left"/>
      <protection locked="0"/>
    </xf>
    <xf numFmtId="4" fontId="15" fillId="6" borderId="4" xfId="0" applyNumberFormat="1" applyFont="1" applyFill="1" applyBorder="1" applyAlignment="1" applyProtection="1">
      <alignment horizontal="left"/>
      <protection locked="0"/>
    </xf>
    <xf numFmtId="169" fontId="15" fillId="6" borderId="2" xfId="0" applyNumberFormat="1" applyFont="1" applyFill="1" applyBorder="1" applyAlignment="1" applyProtection="1">
      <alignment horizontal="left"/>
    </xf>
    <xf numFmtId="169" fontId="15" fillId="6" borderId="3" xfId="0" applyNumberFormat="1" applyFont="1" applyFill="1" applyBorder="1" applyAlignment="1" applyProtection="1">
      <alignment horizontal="left"/>
    </xf>
    <xf numFmtId="169" fontId="15" fillId="6" borderId="4" xfId="0" applyNumberFormat="1" applyFont="1" applyFill="1" applyBorder="1" applyAlignment="1" applyProtection="1">
      <alignment horizontal="left"/>
    </xf>
    <xf numFmtId="169" fontId="39" fillId="11" borderId="2" xfId="0" applyNumberFormat="1" applyFont="1" applyFill="1" applyBorder="1" applyAlignment="1">
      <alignment horizontal="left"/>
    </xf>
    <xf numFmtId="169" fontId="39" fillId="11" borderId="3" xfId="0" applyNumberFormat="1" applyFont="1" applyFill="1" applyBorder="1" applyAlignment="1">
      <alignment horizontal="left"/>
    </xf>
    <xf numFmtId="169" fontId="39" fillId="11" borderId="4" xfId="0" applyNumberFormat="1" applyFont="1" applyFill="1" applyBorder="1" applyAlignment="1">
      <alignment horizontal="left"/>
    </xf>
    <xf numFmtId="174" fontId="35" fillId="0" borderId="3" xfId="2" applyNumberFormat="1" applyFont="1" applyBorder="1" applyAlignment="1" applyProtection="1">
      <alignment horizontal="left" readingOrder="1"/>
    </xf>
    <xf numFmtId="49" fontId="5" fillId="6" borderId="2" xfId="0" applyNumberFormat="1" applyFont="1" applyFill="1" applyBorder="1" applyAlignment="1" applyProtection="1">
      <alignment horizontal="left"/>
      <protection locked="0"/>
    </xf>
    <xf numFmtId="49" fontId="5" fillId="6" borderId="3" xfId="0" applyNumberFormat="1" applyFont="1" applyFill="1" applyBorder="1" applyAlignment="1" applyProtection="1">
      <alignment horizontal="left"/>
      <protection locked="0"/>
    </xf>
    <xf numFmtId="49" fontId="5" fillId="6" borderId="4" xfId="0" applyNumberFormat="1" applyFont="1" applyFill="1" applyBorder="1" applyAlignment="1" applyProtection="1">
      <alignment horizontal="left"/>
      <protection locked="0"/>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37" fillId="0" borderId="0" xfId="0" applyFont="1" applyAlignment="1">
      <alignment horizontal="center" vertical="center" textRotation="90"/>
    </xf>
    <xf numFmtId="0" fontId="37" fillId="0" borderId="15" xfId="0" applyFont="1" applyBorder="1" applyAlignment="1">
      <alignment horizontal="center" vertical="center" textRotation="90"/>
    </xf>
    <xf numFmtId="0" fontId="37" fillId="0" borderId="16" xfId="0" applyFont="1" applyBorder="1" applyAlignment="1">
      <alignment horizontal="center" vertical="center" textRotation="90"/>
    </xf>
    <xf numFmtId="0" fontId="35" fillId="0" borderId="17" xfId="0" applyFont="1" applyBorder="1" applyAlignment="1">
      <alignment wrapText="1"/>
    </xf>
    <xf numFmtId="0" fontId="35" fillId="0" borderId="0" xfId="0" applyFont="1" applyBorder="1" applyAlignment="1">
      <alignment wrapText="1"/>
    </xf>
    <xf numFmtId="0" fontId="36" fillId="0" borderId="0" xfId="0" applyFont="1" applyAlignment="1" applyProtection="1">
      <alignment horizontal="center" vertical="center"/>
      <protection hidden="1"/>
    </xf>
    <xf numFmtId="0" fontId="37" fillId="2" borderId="12" xfId="0" applyFont="1" applyFill="1" applyBorder="1" applyAlignment="1" applyProtection="1">
      <alignment horizontal="center" vertical="center"/>
      <protection hidden="1"/>
    </xf>
    <xf numFmtId="0" fontId="37" fillId="2" borderId="13" xfId="0" applyFont="1" applyFill="1" applyBorder="1" applyAlignment="1" applyProtection="1">
      <alignment horizontal="center" vertical="center"/>
      <protection hidden="1"/>
    </xf>
    <xf numFmtId="0" fontId="37" fillId="2" borderId="14" xfId="0" applyFont="1" applyFill="1" applyBorder="1" applyAlignment="1" applyProtection="1">
      <alignment horizontal="center" vertical="center"/>
      <protection hidden="1"/>
    </xf>
  </cellXfs>
  <cellStyles count="5">
    <cellStyle name="Čiarka" xfId="2" builtinId="3"/>
    <cellStyle name="Normálna" xfId="0" builtinId="0"/>
    <cellStyle name="Normálna 2" xfId="4"/>
    <cellStyle name="Normálna 4" xfId="1"/>
    <cellStyle name="Percentá" xfId="3" builtinId="5"/>
  </cellStyles>
  <dxfs count="2">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235"/>
  <sheetViews>
    <sheetView topLeftCell="A140" zoomScaleNormal="100" workbookViewId="0">
      <selection activeCell="H98" sqref="H98"/>
    </sheetView>
  </sheetViews>
  <sheetFormatPr defaultColWidth="8.85546875" defaultRowHeight="15" x14ac:dyDescent="0.25"/>
  <cols>
    <col min="2" max="4" width="17.42578125" customWidth="1"/>
    <col min="5" max="5" width="18.42578125" customWidth="1"/>
    <col min="6" max="6" width="17.42578125" customWidth="1"/>
    <col min="7" max="7" width="18.42578125" customWidth="1"/>
    <col min="8" max="8" width="17.5703125" bestFit="1" customWidth="1"/>
    <col min="10" max="10" width="103.7109375" customWidth="1"/>
    <col min="11" max="11" width="17.5703125" bestFit="1" customWidth="1"/>
    <col min="12" max="12" width="10" bestFit="1" customWidth="1"/>
    <col min="13" max="13" width="10.42578125" bestFit="1" customWidth="1"/>
    <col min="14" max="14" width="9.42578125" bestFit="1" customWidth="1"/>
    <col min="15" max="15" width="123.85546875" customWidth="1"/>
    <col min="20" max="20" width="15" bestFit="1" customWidth="1"/>
  </cols>
  <sheetData>
    <row r="1" spans="1:12" ht="44.45" customHeight="1" thickBot="1" x14ac:dyDescent="0.3">
      <c r="B1" s="165" t="s">
        <v>173</v>
      </c>
      <c r="C1" s="166"/>
      <c r="D1" s="166"/>
      <c r="E1" s="166"/>
      <c r="F1" s="167"/>
      <c r="L1" s="8" t="s">
        <v>14</v>
      </c>
    </row>
    <row r="2" spans="1:12" ht="24.95" customHeight="1" x14ac:dyDescent="0.25"/>
    <row r="3" spans="1:12" ht="18.75" x14ac:dyDescent="0.3">
      <c r="A3" s="11" t="s">
        <v>13</v>
      </c>
      <c r="B3" s="11"/>
      <c r="C3" s="11"/>
    </row>
    <row r="4" spans="1:12" x14ac:dyDescent="0.25">
      <c r="B4" s="1"/>
    </row>
    <row r="5" spans="1:12" ht="15.75" thickBot="1" x14ac:dyDescent="0.3">
      <c r="B5" s="2" t="s">
        <v>0</v>
      </c>
      <c r="D5" t="s">
        <v>16</v>
      </c>
      <c r="F5" t="s">
        <v>20</v>
      </c>
    </row>
    <row r="6" spans="1:12" ht="15" customHeight="1" thickBot="1" x14ac:dyDescent="0.3">
      <c r="B6" s="37">
        <v>36525782</v>
      </c>
      <c r="D6" s="37">
        <v>2020158789</v>
      </c>
      <c r="F6" s="37" t="s">
        <v>152</v>
      </c>
      <c r="L6" s="164"/>
    </row>
    <row r="7" spans="1:12" ht="15" customHeight="1" x14ac:dyDescent="0.25">
      <c r="L7" s="164"/>
    </row>
    <row r="8" spans="1:12" ht="15" customHeight="1" thickBot="1" x14ac:dyDescent="0.3">
      <c r="B8" t="s">
        <v>12</v>
      </c>
      <c r="L8" s="164"/>
    </row>
    <row r="9" spans="1:12" ht="15" customHeight="1" thickBot="1" x14ac:dyDescent="0.3">
      <c r="B9" s="157" t="s">
        <v>153</v>
      </c>
      <c r="C9" s="176"/>
      <c r="D9" s="176"/>
      <c r="E9" s="176"/>
      <c r="F9" s="158"/>
      <c r="L9" s="164"/>
    </row>
    <row r="10" spans="1:12" ht="15" customHeight="1" x14ac:dyDescent="0.25">
      <c r="L10" s="164"/>
    </row>
    <row r="11" spans="1:12" ht="15.75" thickBot="1" x14ac:dyDescent="0.3">
      <c r="B11" t="s">
        <v>1</v>
      </c>
      <c r="E11" t="s">
        <v>171</v>
      </c>
      <c r="L11" s="164"/>
    </row>
    <row r="12" spans="1:12" ht="15.75" thickBot="1" x14ac:dyDescent="0.3">
      <c r="B12" s="157" t="s">
        <v>154</v>
      </c>
      <c r="C12" s="158"/>
      <c r="D12" s="51"/>
      <c r="E12" s="159"/>
      <c r="F12" s="160"/>
      <c r="L12" s="164"/>
    </row>
    <row r="13" spans="1:12" ht="15" customHeight="1" x14ac:dyDescent="0.25">
      <c r="L13" s="164"/>
    </row>
    <row r="14" spans="1:12" x14ac:dyDescent="0.25">
      <c r="B14" t="s">
        <v>2</v>
      </c>
      <c r="L14" s="164"/>
    </row>
    <row r="15" spans="1:12" ht="15.75" thickBot="1" x14ac:dyDescent="0.3">
      <c r="B15" t="s">
        <v>3</v>
      </c>
      <c r="D15" t="s">
        <v>4</v>
      </c>
      <c r="F15" t="s">
        <v>5</v>
      </c>
      <c r="L15" s="164"/>
    </row>
    <row r="16" spans="1:12" ht="15.75" thickBot="1" x14ac:dyDescent="0.3">
      <c r="B16" s="37" t="s">
        <v>155</v>
      </c>
      <c r="D16" s="37">
        <v>55</v>
      </c>
      <c r="F16" s="37"/>
      <c r="L16" s="164"/>
    </row>
    <row r="17" spans="2:12" ht="7.5" customHeight="1" x14ac:dyDescent="0.25">
      <c r="L17" s="164"/>
    </row>
    <row r="18" spans="2:12" ht="15.75" thickBot="1" x14ac:dyDescent="0.3">
      <c r="B18" t="s">
        <v>6</v>
      </c>
      <c r="D18" t="s">
        <v>7</v>
      </c>
      <c r="F18" t="s">
        <v>8</v>
      </c>
      <c r="L18" s="164"/>
    </row>
    <row r="19" spans="2:12" ht="15.75" thickBot="1" x14ac:dyDescent="0.3">
      <c r="B19" s="37" t="s">
        <v>156</v>
      </c>
      <c r="D19" s="38" t="s">
        <v>157</v>
      </c>
      <c r="F19" s="37" t="s">
        <v>59</v>
      </c>
      <c r="L19" s="164"/>
    </row>
    <row r="20" spans="2:12" ht="15" customHeight="1" x14ac:dyDescent="0.25">
      <c r="L20" s="164"/>
    </row>
    <row r="21" spans="2:12" x14ac:dyDescent="0.25">
      <c r="B21" t="s">
        <v>15</v>
      </c>
      <c r="L21" s="164"/>
    </row>
    <row r="22" spans="2:12" ht="15.75" thickBot="1" x14ac:dyDescent="0.3">
      <c r="B22" t="s">
        <v>9</v>
      </c>
      <c r="D22" t="s">
        <v>10</v>
      </c>
      <c r="L22" s="164"/>
    </row>
    <row r="23" spans="2:12" ht="15.75" thickBot="1" x14ac:dyDescent="0.3">
      <c r="B23" s="37" t="s">
        <v>158</v>
      </c>
      <c r="D23" s="37" t="s">
        <v>159</v>
      </c>
      <c r="L23" s="164"/>
    </row>
    <row r="24" spans="2:12" x14ac:dyDescent="0.25">
      <c r="B24" s="6" t="s">
        <v>18</v>
      </c>
      <c r="L24" s="4"/>
    </row>
    <row r="25" spans="2:12" x14ac:dyDescent="0.25">
      <c r="B25" s="6"/>
      <c r="F25" s="3"/>
      <c r="L25" s="4"/>
    </row>
    <row r="26" spans="2:12" x14ac:dyDescent="0.25">
      <c r="B26" s="6"/>
      <c r="F26" s="3"/>
      <c r="L26" s="4"/>
    </row>
    <row r="27" spans="2:12" ht="15.75" thickBot="1" x14ac:dyDescent="0.3">
      <c r="B27" s="7" t="s">
        <v>19</v>
      </c>
      <c r="F27" s="3"/>
      <c r="L27" s="4"/>
    </row>
    <row r="28" spans="2:12" ht="15.75" thickBot="1" x14ac:dyDescent="0.3">
      <c r="B28" s="161" t="s">
        <v>160</v>
      </c>
      <c r="C28" s="162"/>
      <c r="F28" s="3"/>
      <c r="L28" s="4"/>
    </row>
    <row r="29" spans="2:12" x14ac:dyDescent="0.25">
      <c r="F29" s="3"/>
      <c r="L29" s="4"/>
    </row>
    <row r="30" spans="2:12" ht="15" customHeight="1" x14ac:dyDescent="0.25">
      <c r="F30" s="3"/>
      <c r="L30" s="5"/>
    </row>
    <row r="31" spans="2:12" ht="15" customHeight="1" x14ac:dyDescent="0.25"/>
    <row r="32" spans="2:12" ht="15.75" thickBot="1" x14ac:dyDescent="0.3">
      <c r="B32" t="s">
        <v>11</v>
      </c>
      <c r="L32" s="191"/>
    </row>
    <row r="33" spans="1:12" ht="15.75" thickBot="1" x14ac:dyDescent="0.3">
      <c r="B33" s="157" t="s">
        <v>161</v>
      </c>
      <c r="C33" s="176"/>
      <c r="D33" s="176"/>
      <c r="E33" s="176"/>
      <c r="F33" s="158"/>
      <c r="L33" s="191"/>
    </row>
    <row r="34" spans="1:12" x14ac:dyDescent="0.25">
      <c r="L34" s="9"/>
    </row>
    <row r="35" spans="1:12" x14ac:dyDescent="0.25">
      <c r="L35" s="9"/>
    </row>
    <row r="36" spans="1:12" ht="18.75" x14ac:dyDescent="0.3">
      <c r="A36" s="11" t="s">
        <v>177</v>
      </c>
      <c r="B36" s="11"/>
      <c r="C36" s="11"/>
      <c r="D36" s="11"/>
      <c r="E36" s="54"/>
      <c r="F36" s="12"/>
      <c r="G36" s="12"/>
      <c r="H36" s="12"/>
      <c r="L36" s="9"/>
    </row>
    <row r="37" spans="1:12" x14ac:dyDescent="0.25">
      <c r="L37" s="9"/>
    </row>
    <row r="38" spans="1:12" ht="15.75" thickBot="1" x14ac:dyDescent="0.3">
      <c r="B38" s="1" t="s">
        <v>21</v>
      </c>
      <c r="L38" s="9"/>
    </row>
    <row r="39" spans="1:12" ht="15.75" thickBot="1" x14ac:dyDescent="0.3">
      <c r="B39" s="177" t="s">
        <v>163</v>
      </c>
      <c r="C39" s="178"/>
      <c r="D39" s="178"/>
      <c r="E39" s="178"/>
      <c r="F39" s="179"/>
      <c r="L39" s="4"/>
    </row>
    <row r="40" spans="1:12" x14ac:dyDescent="0.25">
      <c r="L40" s="9"/>
    </row>
    <row r="41" spans="1:12" ht="15.75" thickBot="1" x14ac:dyDescent="0.3">
      <c r="B41" s="15" t="s">
        <v>180</v>
      </c>
      <c r="C41" s="16"/>
      <c r="D41" s="16"/>
      <c r="E41" s="16"/>
      <c r="F41" s="16"/>
      <c r="L41" s="9"/>
    </row>
    <row r="42" spans="1:12" ht="15.75" thickBot="1" x14ac:dyDescent="0.3">
      <c r="B42" s="154">
        <v>12792.1</v>
      </c>
      <c r="C42" s="155"/>
      <c r="D42" s="155"/>
      <c r="E42" s="155"/>
      <c r="F42" s="156"/>
      <c r="L42" s="4"/>
    </row>
    <row r="43" spans="1:12" x14ac:dyDescent="0.25">
      <c r="B43" s="16"/>
      <c r="C43" s="16"/>
      <c r="D43" s="16"/>
      <c r="E43" s="16"/>
      <c r="F43" s="16"/>
      <c r="L43" s="9"/>
    </row>
    <row r="44" spans="1:12" ht="15.75" thickBot="1" x14ac:dyDescent="0.3">
      <c r="B44" s="15" t="s">
        <v>181</v>
      </c>
      <c r="C44" s="16"/>
      <c r="D44" s="16"/>
      <c r="E44" s="16"/>
      <c r="F44" s="16"/>
      <c r="L44" s="9"/>
    </row>
    <row r="45" spans="1:12" ht="15.75" thickBot="1" x14ac:dyDescent="0.3">
      <c r="B45" s="180">
        <v>7.3200000000000001E-2</v>
      </c>
      <c r="C45" s="181"/>
      <c r="D45" s="181"/>
      <c r="E45" s="181"/>
      <c r="F45" s="182"/>
      <c r="L45" s="4"/>
    </row>
    <row r="46" spans="1:12" x14ac:dyDescent="0.25">
      <c r="B46" s="16"/>
      <c r="C46" s="16"/>
      <c r="D46" s="16"/>
      <c r="E46" s="16"/>
      <c r="F46" s="16"/>
      <c r="L46" s="9"/>
    </row>
    <row r="47" spans="1:12" ht="15.75" thickBot="1" x14ac:dyDescent="0.3">
      <c r="B47" s="15" t="s">
        <v>182</v>
      </c>
      <c r="C47" s="16"/>
      <c r="D47" s="16"/>
      <c r="E47" s="16"/>
      <c r="F47" s="16"/>
      <c r="L47" s="9"/>
    </row>
    <row r="48" spans="1:12" ht="15.75" thickBot="1" x14ac:dyDescent="0.3">
      <c r="B48" s="180">
        <v>212.34540000000001</v>
      </c>
      <c r="C48" s="181"/>
      <c r="D48" s="181"/>
      <c r="E48" s="181"/>
      <c r="F48" s="182"/>
      <c r="L48" s="4"/>
    </row>
    <row r="49" spans="1:19" x14ac:dyDescent="0.25">
      <c r="B49" s="16"/>
      <c r="C49" s="16"/>
      <c r="D49" s="16"/>
      <c r="E49" s="16"/>
      <c r="F49" s="16"/>
      <c r="L49" s="9"/>
    </row>
    <row r="50" spans="1:19" ht="15.75" thickBot="1" x14ac:dyDescent="0.3">
      <c r="B50" s="15" t="s">
        <v>170</v>
      </c>
      <c r="C50" s="16"/>
      <c r="D50" s="16"/>
      <c r="E50" s="16"/>
      <c r="F50" s="16"/>
      <c r="L50" s="9"/>
    </row>
    <row r="51" spans="1:19" ht="15.75" thickBot="1" x14ac:dyDescent="0.3">
      <c r="B51" s="151">
        <v>64689000</v>
      </c>
      <c r="C51" s="152"/>
      <c r="D51" s="152"/>
      <c r="E51" s="152"/>
      <c r="F51" s="153"/>
      <c r="L51" s="4"/>
    </row>
    <row r="52" spans="1:19" x14ac:dyDescent="0.25">
      <c r="B52" s="16"/>
      <c r="C52" s="16"/>
      <c r="D52" s="16"/>
      <c r="E52" s="16"/>
      <c r="F52" s="16"/>
    </row>
    <row r="53" spans="1:19" ht="15.75" thickBot="1" x14ac:dyDescent="0.3">
      <c r="B53" s="15" t="s">
        <v>183</v>
      </c>
      <c r="C53" s="16"/>
      <c r="D53" s="16"/>
      <c r="E53" s="16"/>
      <c r="F53" s="16"/>
      <c r="H53" s="63"/>
      <c r="I53" s="63"/>
      <c r="J53" s="63"/>
      <c r="K53" s="63"/>
      <c r="L53" s="63"/>
      <c r="M53" s="63"/>
      <c r="N53" s="63"/>
      <c r="O53" s="63"/>
      <c r="P53" s="63"/>
      <c r="Q53" s="63"/>
      <c r="R53" s="63"/>
      <c r="S53" s="63"/>
    </row>
    <row r="54" spans="1:19" ht="15.75" thickBot="1" x14ac:dyDescent="0.3">
      <c r="B54" s="183">
        <f>(B45 + (B48*B42/B51))*1000*1.2</f>
        <v>138.228973544312</v>
      </c>
      <c r="C54" s="184"/>
      <c r="D54" s="184"/>
      <c r="E54" s="184"/>
      <c r="F54" s="185"/>
      <c r="G54" s="14"/>
    </row>
    <row r="55" spans="1:19" x14ac:dyDescent="0.25">
      <c r="B55" s="57"/>
      <c r="C55" s="57"/>
      <c r="D55" s="57"/>
      <c r="E55" s="57"/>
      <c r="F55" s="57"/>
      <c r="G55" s="14"/>
      <c r="L55" s="9"/>
    </row>
    <row r="56" spans="1:19" x14ac:dyDescent="0.25">
      <c r="B56" s="16"/>
      <c r="C56" s="16"/>
      <c r="D56" s="16"/>
      <c r="E56" s="16"/>
      <c r="F56" s="16"/>
      <c r="L56" s="9"/>
    </row>
    <row r="57" spans="1:19" ht="18.75" x14ac:dyDescent="0.3">
      <c r="A57" s="11" t="s">
        <v>176</v>
      </c>
      <c r="B57" s="17"/>
      <c r="C57" s="17"/>
      <c r="D57" s="17"/>
      <c r="E57" s="18"/>
      <c r="F57" s="19"/>
      <c r="L57" s="9"/>
    </row>
    <row r="58" spans="1:19" x14ac:dyDescent="0.25">
      <c r="B58" s="16"/>
      <c r="C58" s="16"/>
      <c r="D58" s="16"/>
      <c r="E58" s="16"/>
      <c r="F58" s="16"/>
      <c r="L58" s="9"/>
    </row>
    <row r="59" spans="1:19" ht="16.5" thickBot="1" x14ac:dyDescent="0.3">
      <c r="A59" s="52"/>
      <c r="B59" s="48" t="s">
        <v>21</v>
      </c>
      <c r="C59" s="49"/>
      <c r="D59" s="49"/>
      <c r="E59" s="48" t="s">
        <v>168</v>
      </c>
      <c r="F59" s="48" t="s">
        <v>169</v>
      </c>
      <c r="L59" s="9"/>
    </row>
    <row r="60" spans="1:19" ht="15.75" thickBot="1" x14ac:dyDescent="0.3">
      <c r="B60" s="172" t="s">
        <v>162</v>
      </c>
      <c r="C60" s="173"/>
      <c r="D60" s="45"/>
      <c r="E60" s="58">
        <v>45292</v>
      </c>
      <c r="F60" s="59">
        <v>45443</v>
      </c>
      <c r="L60" s="4"/>
    </row>
    <row r="61" spans="1:19" x14ac:dyDescent="0.25">
      <c r="B61" s="16"/>
      <c r="C61" s="16"/>
      <c r="D61" s="16"/>
      <c r="E61" s="16"/>
      <c r="F61" s="16"/>
      <c r="L61" s="9"/>
    </row>
    <row r="62" spans="1:19" ht="15.75" thickBot="1" x14ac:dyDescent="0.3">
      <c r="B62" s="15" t="s">
        <v>180</v>
      </c>
      <c r="C62" s="16"/>
      <c r="D62" s="16"/>
      <c r="E62" s="16"/>
      <c r="F62" s="16"/>
      <c r="L62" s="9"/>
    </row>
    <row r="63" spans="1:19" ht="15.75" thickBot="1" x14ac:dyDescent="0.3">
      <c r="B63" s="154">
        <v>12018.39</v>
      </c>
      <c r="C63" s="155"/>
      <c r="D63" s="155"/>
      <c r="E63" s="155"/>
      <c r="F63" s="156"/>
      <c r="L63" s="4"/>
    </row>
    <row r="64" spans="1:19" ht="7.5" customHeight="1" x14ac:dyDescent="0.25">
      <c r="B64" s="16"/>
      <c r="C64" s="16"/>
      <c r="D64" s="16"/>
      <c r="E64" s="16"/>
      <c r="F64" s="16"/>
      <c r="L64" s="9"/>
    </row>
    <row r="65" spans="2:13" ht="15.75" thickBot="1" x14ac:dyDescent="0.3">
      <c r="B65" s="15" t="s">
        <v>181</v>
      </c>
      <c r="C65" s="16"/>
      <c r="D65" s="16"/>
      <c r="E65" s="16"/>
      <c r="F65" s="16"/>
      <c r="L65" s="9"/>
    </row>
    <row r="66" spans="2:13" ht="21" customHeight="1" thickBot="1" x14ac:dyDescent="0.3">
      <c r="B66" s="154">
        <v>0.12559999999999999</v>
      </c>
      <c r="C66" s="155"/>
      <c r="D66" s="155"/>
      <c r="E66" s="155"/>
      <c r="F66" s="156"/>
      <c r="L66" s="4"/>
      <c r="M66" t="s">
        <v>214</v>
      </c>
    </row>
    <row r="67" spans="2:13" ht="16.5" customHeight="1" x14ac:dyDescent="0.25">
      <c r="B67" s="16"/>
      <c r="C67" s="16"/>
      <c r="D67" s="16"/>
      <c r="E67" s="16"/>
      <c r="F67" s="16"/>
      <c r="J67">
        <f>SUMIFS(Hárok2!$C$2:$C$13, Hárok2!$B$2:$B$13, "&gt;=" &amp; MONTH(DATEVALUE(TEXT(E60, "mmmm") &amp; " 1")), Hárok2!$B$2:$B$13, "&lt;=" &amp; MONTH(DATEVALUE(TEXT(F60, "mmmm") &amp; " 1")))</f>
        <v>0.57099999999999995</v>
      </c>
      <c r="K67">
        <f>100*J67</f>
        <v>57.099999999999994</v>
      </c>
      <c r="L67" s="9">
        <f>100/K67</f>
        <v>1.7513134851138354</v>
      </c>
      <c r="M67">
        <f>100/(SUMIFS(Hárok2!$C$2:$C$13, Hárok2!$B$2:$B$13, "&gt;=" &amp; MONTH(DATEVALUE(TEXT(E60, "mmmm") &amp; " 1")), Hárok2!$B$2:$B$13, "&lt;=" &amp; MONTH(DATEVALUE(TEXT(F60, "mmmm") &amp; " 1"))))*Hárok2!C2/100</f>
        <v>0.30823117338003503</v>
      </c>
    </row>
    <row r="68" spans="2:13" ht="15.75" thickBot="1" x14ac:dyDescent="0.3">
      <c r="B68" s="15" t="s">
        <v>182</v>
      </c>
      <c r="C68" s="16"/>
      <c r="D68" s="16"/>
      <c r="E68" s="16"/>
      <c r="F68" s="16"/>
      <c r="K68" s="63"/>
      <c r="L68" s="9">
        <f>L67*0.176</f>
        <v>0.30823117338003503</v>
      </c>
    </row>
    <row r="69" spans="2:13" ht="15.75" thickBot="1" x14ac:dyDescent="0.3">
      <c r="B69" s="154">
        <v>244.70760000000001</v>
      </c>
      <c r="C69" s="155"/>
      <c r="D69" s="155"/>
      <c r="E69" s="155"/>
      <c r="F69" s="156"/>
      <c r="K69" s="63"/>
      <c r="L69" s="4"/>
    </row>
    <row r="70" spans="2:13" ht="8.25" customHeight="1" x14ac:dyDescent="0.25">
      <c r="B70" s="16"/>
      <c r="C70" s="16"/>
      <c r="D70" s="16"/>
      <c r="E70" s="16"/>
      <c r="F70" s="16"/>
      <c r="K70" s="63"/>
      <c r="L70" s="9"/>
    </row>
    <row r="71" spans="2:13" ht="15.75" thickBot="1" x14ac:dyDescent="0.3">
      <c r="B71" s="15" t="s">
        <v>172</v>
      </c>
      <c r="C71" s="16"/>
      <c r="D71" s="16"/>
      <c r="E71" s="16"/>
      <c r="F71" s="16"/>
      <c r="K71" s="63"/>
      <c r="L71" s="9"/>
    </row>
    <row r="72" spans="2:13" ht="15.75" thickBot="1" x14ac:dyDescent="0.3">
      <c r="B72" s="151">
        <v>63981000</v>
      </c>
      <c r="C72" s="152"/>
      <c r="D72" s="152"/>
      <c r="E72" s="152"/>
      <c r="F72" s="153"/>
      <c r="K72" s="63"/>
      <c r="L72" s="4"/>
    </row>
    <row r="73" spans="2:13" ht="7.5" customHeight="1" x14ac:dyDescent="0.25">
      <c r="B73" s="47"/>
      <c r="C73" s="47"/>
      <c r="D73" s="47"/>
      <c r="E73" s="47"/>
      <c r="F73" s="47"/>
      <c r="K73" s="63"/>
      <c r="L73" s="4"/>
    </row>
    <row r="74" spans="2:13" ht="15.75" thickBot="1" x14ac:dyDescent="0.3">
      <c r="B74" s="15" t="s">
        <v>184</v>
      </c>
      <c r="C74" s="16"/>
      <c r="D74" s="16"/>
      <c r="E74" s="16"/>
      <c r="F74" s="16"/>
      <c r="K74" s="63"/>
      <c r="L74" s="4"/>
    </row>
    <row r="75" spans="2:13" ht="15.75" customHeight="1" thickBot="1" x14ac:dyDescent="0.3">
      <c r="B75" s="154">
        <v>57989520</v>
      </c>
      <c r="C75" s="155"/>
      <c r="D75" s="155"/>
      <c r="E75" s="155"/>
      <c r="F75" s="156"/>
      <c r="K75" s="63"/>
      <c r="L75" s="9"/>
    </row>
    <row r="76" spans="2:13" ht="9.75" customHeight="1" x14ac:dyDescent="0.25">
      <c r="B76" s="50"/>
      <c r="C76" s="50"/>
      <c r="D76" s="50"/>
      <c r="E76" s="50"/>
      <c r="F76" s="50"/>
      <c r="K76" s="63"/>
      <c r="L76" s="9"/>
    </row>
    <row r="77" spans="2:13" ht="15.75" customHeight="1" thickBot="1" x14ac:dyDescent="0.3">
      <c r="B77" s="15" t="s">
        <v>185</v>
      </c>
      <c r="C77" s="16"/>
      <c r="D77" s="16"/>
      <c r="E77" s="16"/>
      <c r="F77" s="16"/>
      <c r="K77" s="63"/>
      <c r="L77" s="191"/>
    </row>
    <row r="78" spans="2:13" ht="15.75" customHeight="1" thickBot="1" x14ac:dyDescent="0.3">
      <c r="B78" s="163">
        <f xml:space="preserve"> (B66 + (B69*B63/B72))*1000*1.2</f>
        <v>205.87996385359403</v>
      </c>
      <c r="C78" s="149"/>
      <c r="D78" s="149"/>
      <c r="E78" s="149"/>
      <c r="F78" s="150"/>
      <c r="G78" s="14"/>
      <c r="K78" s="63"/>
      <c r="L78" s="191"/>
    </row>
    <row r="79" spans="2:13" ht="7.5" customHeight="1" x14ac:dyDescent="0.25">
      <c r="B79" s="46"/>
      <c r="C79" s="46"/>
      <c r="D79" s="46"/>
      <c r="E79" s="46"/>
      <c r="F79" s="46"/>
      <c r="G79" s="14"/>
      <c r="K79" s="63"/>
      <c r="L79" s="9"/>
    </row>
    <row r="80" spans="2:13" ht="15.75" customHeight="1" thickBot="1" x14ac:dyDescent="0.3">
      <c r="B80" s="15" t="s">
        <v>186</v>
      </c>
      <c r="C80" s="15"/>
      <c r="D80" s="15"/>
      <c r="E80" s="15"/>
      <c r="F80" s="15"/>
      <c r="G80" s="14"/>
      <c r="L80" s="9"/>
    </row>
    <row r="81" spans="1:12" ht="16.5" customHeight="1" thickBot="1" x14ac:dyDescent="0.3">
      <c r="A81" s="15"/>
      <c r="B81" s="163">
        <f>B144/1.2/1000-(B69*B63)/B72</f>
        <v>8.5890841408931634E-2</v>
      </c>
      <c r="C81" s="149"/>
      <c r="D81" s="149"/>
      <c r="E81" s="149"/>
      <c r="F81" s="150"/>
      <c r="G81" s="14"/>
      <c r="L81" s="9"/>
    </row>
    <row r="82" spans="1:12" ht="8.25" customHeight="1" x14ac:dyDescent="0.25">
      <c r="A82" s="15"/>
      <c r="B82" s="15"/>
      <c r="C82" s="46"/>
      <c r="D82" s="46"/>
      <c r="E82" s="46"/>
      <c r="F82" s="46"/>
      <c r="G82" s="14"/>
      <c r="L82" s="9"/>
    </row>
    <row r="83" spans="1:12" ht="16.5" customHeight="1" thickBot="1" x14ac:dyDescent="0.3">
      <c r="A83" s="15"/>
      <c r="B83" s="15" t="s">
        <v>179</v>
      </c>
      <c r="C83" s="46"/>
      <c r="D83" s="46"/>
      <c r="E83" s="46"/>
      <c r="F83" s="46"/>
      <c r="G83" s="14"/>
      <c r="H83" t="s">
        <v>215</v>
      </c>
      <c r="L83" s="9"/>
    </row>
    <row r="84" spans="1:12" ht="16.5" customHeight="1" thickBot="1" x14ac:dyDescent="0.3">
      <c r="B84" s="62">
        <f>(MIN(B78-B144)*B75/1000 ) * SUMIFS(Hárok2!$C$2:$C$13, Hárok2!$B$2:$B$13, "&gt;=" &amp; MONTH(DATEVALUE(TEXT(E60, "mmmm") &amp; " 1")), Hárok2!$B$2:$B$13, "&lt;=" &amp; MONTH(DATEVALUE(TEXT(F60, "mmmm") &amp; " 1")))</f>
        <v>1577820.3497247123</v>
      </c>
      <c r="C84" s="60"/>
      <c r="D84" s="60"/>
      <c r="E84" s="60"/>
      <c r="F84" s="61"/>
      <c r="G84" s="78"/>
      <c r="H84" s="64">
        <f>B84*0.3082</f>
        <v>486284.2317851563</v>
      </c>
      <c r="J84">
        <f xml:space="preserve"> Hárok2!C2*(100/SUM(Hárok2!C2:C6))/100</f>
        <v>0.30823117338003503</v>
      </c>
      <c r="K84" s="64">
        <f>B84*J84</f>
        <v>486333.41777854529</v>
      </c>
      <c r="L84" s="9"/>
    </row>
    <row r="85" spans="1:12" ht="27" customHeight="1" x14ac:dyDescent="0.25">
      <c r="B85" s="46"/>
      <c r="C85" s="46"/>
      <c r="D85" s="46"/>
      <c r="E85" s="46"/>
      <c r="F85" s="46"/>
      <c r="G85" s="63"/>
      <c r="L85" s="9"/>
    </row>
    <row r="86" spans="1:12" ht="15.75" customHeight="1" thickBot="1" x14ac:dyDescent="0.3">
      <c r="A86" s="52"/>
      <c r="B86" s="48" t="s">
        <v>21</v>
      </c>
      <c r="C86" s="49"/>
      <c r="D86" s="49"/>
      <c r="E86" s="48" t="s">
        <v>168</v>
      </c>
      <c r="F86" s="48" t="s">
        <v>169</v>
      </c>
      <c r="G86" s="14"/>
      <c r="L86" s="9"/>
    </row>
    <row r="87" spans="1:12" ht="15.75" customHeight="1" thickBot="1" x14ac:dyDescent="0.3">
      <c r="B87" s="172" t="s">
        <v>162</v>
      </c>
      <c r="C87" s="173"/>
      <c r="D87" s="45"/>
      <c r="E87" s="58">
        <v>45444</v>
      </c>
      <c r="F87" s="59">
        <v>45565</v>
      </c>
      <c r="G87" s="14"/>
      <c r="L87" s="9"/>
    </row>
    <row r="88" spans="1:12" ht="9.75" customHeight="1" x14ac:dyDescent="0.25">
      <c r="B88" s="16"/>
      <c r="C88" s="16"/>
      <c r="D88" s="16"/>
      <c r="E88" s="16"/>
      <c r="F88" s="16"/>
      <c r="G88" s="14"/>
      <c r="L88" s="9"/>
    </row>
    <row r="89" spans="1:12" ht="15.75" customHeight="1" thickBot="1" x14ac:dyDescent="0.3">
      <c r="B89" s="15" t="s">
        <v>180</v>
      </c>
      <c r="C89" s="16"/>
      <c r="D89" s="16"/>
      <c r="E89" s="16"/>
      <c r="F89" s="16"/>
      <c r="G89" s="14"/>
      <c r="L89" s="9"/>
    </row>
    <row r="90" spans="1:12" ht="15.75" customHeight="1" thickBot="1" x14ac:dyDescent="0.3">
      <c r="B90" s="154">
        <v>12018.39</v>
      </c>
      <c r="C90" s="155"/>
      <c r="D90" s="155"/>
      <c r="E90" s="155"/>
      <c r="F90" s="156"/>
      <c r="G90" s="14"/>
      <c r="L90" s="9"/>
    </row>
    <row r="91" spans="1:12" ht="10.5" customHeight="1" x14ac:dyDescent="0.25">
      <c r="B91" s="16"/>
      <c r="C91" s="16"/>
      <c r="D91" s="16"/>
      <c r="E91" s="16"/>
      <c r="F91" s="16"/>
      <c r="G91" s="14"/>
      <c r="L91" s="9"/>
    </row>
    <row r="92" spans="1:12" ht="15.75" customHeight="1" thickBot="1" x14ac:dyDescent="0.3">
      <c r="B92" s="15" t="s">
        <v>181</v>
      </c>
      <c r="C92" s="16"/>
      <c r="D92" s="16"/>
      <c r="E92" s="16"/>
      <c r="F92" s="16"/>
      <c r="G92" s="14"/>
      <c r="L92" s="9"/>
    </row>
    <row r="93" spans="1:12" ht="15.75" customHeight="1" thickBot="1" x14ac:dyDescent="0.3">
      <c r="B93" s="154">
        <v>0.12559999999999999</v>
      </c>
      <c r="C93" s="155"/>
      <c r="D93" s="155"/>
      <c r="E93" s="155"/>
      <c r="F93" s="156"/>
      <c r="G93" s="14"/>
      <c r="L93" s="9"/>
    </row>
    <row r="94" spans="1:12" ht="9.75" customHeight="1" x14ac:dyDescent="0.25">
      <c r="B94" s="16"/>
      <c r="C94" s="16"/>
      <c r="D94" s="16"/>
      <c r="E94" s="16"/>
      <c r="F94" s="16"/>
      <c r="G94" s="14"/>
      <c r="L94" s="9"/>
    </row>
    <row r="95" spans="1:12" ht="15.75" customHeight="1" thickBot="1" x14ac:dyDescent="0.3">
      <c r="B95" s="15" t="s">
        <v>182</v>
      </c>
      <c r="C95" s="16"/>
      <c r="D95" s="16"/>
      <c r="E95" s="16"/>
      <c r="F95" s="16"/>
      <c r="G95" s="14"/>
      <c r="L95" s="9"/>
    </row>
    <row r="96" spans="1:12" ht="15.75" customHeight="1" thickBot="1" x14ac:dyDescent="0.3">
      <c r="B96" s="154">
        <v>244.70760000000001</v>
      </c>
      <c r="C96" s="155"/>
      <c r="D96" s="155"/>
      <c r="E96" s="155"/>
      <c r="F96" s="156"/>
      <c r="G96" s="14"/>
      <c r="L96" s="9"/>
    </row>
    <row r="97" spans="2:12" ht="9.75" customHeight="1" x14ac:dyDescent="0.25">
      <c r="B97" s="16"/>
      <c r="C97" s="16"/>
      <c r="D97" s="16"/>
      <c r="E97" s="16"/>
      <c r="F97" s="16"/>
      <c r="G97" s="14"/>
      <c r="L97" s="9"/>
    </row>
    <row r="98" spans="2:12" ht="15.75" customHeight="1" thickBot="1" x14ac:dyDescent="0.3">
      <c r="B98" s="15" t="s">
        <v>172</v>
      </c>
      <c r="C98" s="16"/>
      <c r="D98" s="16"/>
      <c r="E98" s="16"/>
      <c r="F98" s="16"/>
      <c r="G98" s="14"/>
      <c r="L98" s="9"/>
    </row>
    <row r="99" spans="2:12" ht="15.75" customHeight="1" thickBot="1" x14ac:dyDescent="0.3">
      <c r="B99" s="151">
        <v>63981000</v>
      </c>
      <c r="C99" s="152"/>
      <c r="D99" s="152"/>
      <c r="E99" s="152"/>
      <c r="F99" s="153"/>
      <c r="G99" s="14"/>
      <c r="L99" s="9"/>
    </row>
    <row r="100" spans="2:12" ht="9.75" customHeight="1" x14ac:dyDescent="0.25">
      <c r="B100" s="47"/>
      <c r="C100" s="47"/>
      <c r="D100" s="47"/>
      <c r="E100" s="47"/>
      <c r="F100" s="47"/>
      <c r="G100" s="14"/>
      <c r="L100" s="9"/>
    </row>
    <row r="101" spans="2:12" ht="15.75" customHeight="1" thickBot="1" x14ac:dyDescent="0.3">
      <c r="B101" s="15" t="s">
        <v>184</v>
      </c>
      <c r="C101" s="16"/>
      <c r="D101" s="16"/>
      <c r="E101" s="16"/>
      <c r="F101" s="16"/>
      <c r="G101" s="14"/>
      <c r="L101" s="9"/>
    </row>
    <row r="102" spans="2:12" ht="15.75" customHeight="1" thickBot="1" x14ac:dyDescent="0.3">
      <c r="B102" s="154">
        <v>57989520</v>
      </c>
      <c r="C102" s="155"/>
      <c r="D102" s="155"/>
      <c r="E102" s="155"/>
      <c r="F102" s="156"/>
      <c r="G102" s="14"/>
      <c r="L102" s="9"/>
    </row>
    <row r="103" spans="2:12" ht="11.25" customHeight="1" x14ac:dyDescent="0.25">
      <c r="B103" s="50"/>
      <c r="C103" s="50"/>
      <c r="D103" s="50"/>
      <c r="E103" s="50"/>
      <c r="F103" s="50"/>
      <c r="G103" s="14"/>
      <c r="L103" s="9"/>
    </row>
    <row r="104" spans="2:12" ht="15.75" customHeight="1" thickBot="1" x14ac:dyDescent="0.3">
      <c r="B104" s="15" t="s">
        <v>185</v>
      </c>
      <c r="C104" s="16"/>
      <c r="D104" s="16"/>
      <c r="E104" s="16"/>
      <c r="F104" s="16"/>
      <c r="G104" s="14"/>
      <c r="L104" s="9"/>
    </row>
    <row r="105" spans="2:12" ht="15.75" customHeight="1" thickBot="1" x14ac:dyDescent="0.3">
      <c r="B105" s="163">
        <f xml:space="preserve"> (B93 + (B96*B90/B99))*1000*1.2</f>
        <v>205.87996385359403</v>
      </c>
      <c r="C105" s="149"/>
      <c r="D105" s="149"/>
      <c r="E105" s="149"/>
      <c r="F105" s="150"/>
      <c r="G105" s="14"/>
      <c r="L105" s="9"/>
    </row>
    <row r="106" spans="2:12" ht="9" customHeight="1" x14ac:dyDescent="0.25">
      <c r="B106" s="46"/>
      <c r="C106" s="46"/>
      <c r="D106" s="46"/>
      <c r="E106" s="46"/>
      <c r="F106" s="46"/>
      <c r="G106" s="14"/>
      <c r="L106" s="9"/>
    </row>
    <row r="107" spans="2:12" ht="20.100000000000001" customHeight="1" thickBot="1" x14ac:dyDescent="0.3">
      <c r="B107" s="15" t="s">
        <v>186</v>
      </c>
      <c r="C107" s="15"/>
      <c r="D107" s="15"/>
      <c r="E107" s="15"/>
      <c r="F107" s="15"/>
      <c r="G107" s="14"/>
      <c r="L107" s="9"/>
    </row>
    <row r="108" spans="2:12" ht="15" customHeight="1" thickBot="1" x14ac:dyDescent="0.3">
      <c r="B108" s="163">
        <f>B144/1.2/1000-(B90*B96)/B99</f>
        <v>8.5890841408931634E-2</v>
      </c>
      <c r="C108" s="149"/>
      <c r="D108" s="149"/>
      <c r="E108" s="149"/>
      <c r="F108" s="150"/>
      <c r="G108" s="14"/>
      <c r="L108" s="9"/>
    </row>
    <row r="109" spans="2:12" ht="9" customHeight="1" x14ac:dyDescent="0.25">
      <c r="B109" s="15"/>
      <c r="C109" s="46"/>
      <c r="D109" s="46"/>
      <c r="E109" s="46"/>
      <c r="F109" s="46"/>
      <c r="G109" s="14"/>
      <c r="L109" s="9"/>
    </row>
    <row r="110" spans="2:12" ht="20.100000000000001" customHeight="1" thickBot="1" x14ac:dyDescent="0.3">
      <c r="B110" s="15" t="s">
        <v>179</v>
      </c>
      <c r="C110" s="46"/>
      <c r="D110" s="46"/>
      <c r="E110" s="46"/>
      <c r="F110" s="46"/>
      <c r="G110" s="14"/>
      <c r="L110" s="9"/>
    </row>
    <row r="111" spans="2:12" ht="15" customHeight="1" thickBot="1" x14ac:dyDescent="0.3">
      <c r="B111" s="62">
        <f>(MIN(B105-B144)*B102/1000 ) * SUMIFS(Hárok2!$C$2:$C$13, Hárok2!$B$2:$B$13, "&gt;=" &amp; MONTH(DATEVALUE(TEXT(E87, "mmmm") &amp; " 1")), Hárok2!$B$2:$B$13, "&lt;=" &amp; MONTH(DATEVALUE(TEXT(F87, "mmmm") &amp; " 1")))</f>
        <v>187901.54777807437</v>
      </c>
      <c r="C111" s="60"/>
      <c r="D111" s="60"/>
      <c r="E111" s="60"/>
      <c r="F111" s="61"/>
      <c r="G111" s="14"/>
      <c r="L111" s="9"/>
    </row>
    <row r="112" spans="2:12" ht="28.5" customHeight="1" x14ac:dyDescent="0.25">
      <c r="B112" s="46"/>
      <c r="C112" s="46"/>
      <c r="D112" s="46"/>
      <c r="E112" s="46"/>
      <c r="F112" s="46"/>
      <c r="G112" s="14"/>
      <c r="L112" s="9"/>
    </row>
    <row r="113" spans="1:12" ht="15.75" customHeight="1" thickBot="1" x14ac:dyDescent="0.3">
      <c r="A113" s="52"/>
      <c r="B113" s="48" t="s">
        <v>21</v>
      </c>
      <c r="C113" s="49"/>
      <c r="D113" s="49"/>
      <c r="E113" s="48" t="s">
        <v>168</v>
      </c>
      <c r="F113" s="48" t="s">
        <v>169</v>
      </c>
      <c r="G113" s="14"/>
      <c r="L113" s="9"/>
    </row>
    <row r="114" spans="1:12" ht="15.75" customHeight="1" thickBot="1" x14ac:dyDescent="0.3">
      <c r="B114" s="172" t="s">
        <v>162</v>
      </c>
      <c r="C114" s="173"/>
      <c r="D114" s="45"/>
      <c r="E114" s="58">
        <v>45566</v>
      </c>
      <c r="F114" s="59">
        <v>45657</v>
      </c>
      <c r="G114" s="14"/>
      <c r="L114" s="9"/>
    </row>
    <row r="115" spans="1:12" ht="9.75" customHeight="1" x14ac:dyDescent="0.25">
      <c r="B115" s="16"/>
      <c r="C115" s="16"/>
      <c r="D115" s="16"/>
      <c r="E115" s="16"/>
      <c r="F115" s="16"/>
      <c r="G115" s="14"/>
      <c r="L115" s="9"/>
    </row>
    <row r="116" spans="1:12" ht="15.75" customHeight="1" thickBot="1" x14ac:dyDescent="0.3">
      <c r="B116" s="15" t="s">
        <v>180</v>
      </c>
      <c r="C116" s="16"/>
      <c r="D116" s="16"/>
      <c r="E116" s="16"/>
      <c r="F116" s="16"/>
      <c r="G116" s="14"/>
      <c r="L116" s="9"/>
    </row>
    <row r="117" spans="1:12" ht="15.75" customHeight="1" thickBot="1" x14ac:dyDescent="0.3">
      <c r="B117" s="154">
        <v>12018.39</v>
      </c>
      <c r="C117" s="155"/>
      <c r="D117" s="155"/>
      <c r="E117" s="155"/>
      <c r="F117" s="156"/>
      <c r="G117" s="14"/>
      <c r="L117" s="9"/>
    </row>
    <row r="118" spans="1:12" ht="6.75" customHeight="1" x14ac:dyDescent="0.25">
      <c r="B118" s="16"/>
      <c r="C118" s="16"/>
      <c r="D118" s="16"/>
      <c r="E118" s="16"/>
      <c r="F118" s="16"/>
      <c r="G118" s="14"/>
      <c r="L118" s="9"/>
    </row>
    <row r="119" spans="1:12" ht="15.75" customHeight="1" thickBot="1" x14ac:dyDescent="0.3">
      <c r="B119" s="15" t="s">
        <v>181</v>
      </c>
      <c r="C119" s="16"/>
      <c r="D119" s="16"/>
      <c r="E119" s="16"/>
      <c r="F119" s="16"/>
      <c r="G119" s="14"/>
      <c r="L119" s="9"/>
    </row>
    <row r="120" spans="1:12" ht="15.75" customHeight="1" thickBot="1" x14ac:dyDescent="0.3">
      <c r="B120" s="154">
        <v>0.15559999999999999</v>
      </c>
      <c r="C120" s="155"/>
      <c r="D120" s="155"/>
      <c r="E120" s="155"/>
      <c r="F120" s="156"/>
      <c r="G120" s="14"/>
      <c r="L120" s="9"/>
    </row>
    <row r="121" spans="1:12" ht="6" customHeight="1" x14ac:dyDescent="0.25">
      <c r="B121" s="16"/>
      <c r="C121" s="16"/>
      <c r="D121" s="16"/>
      <c r="E121" s="16"/>
      <c r="F121" s="16"/>
      <c r="G121" s="14"/>
      <c r="L121" s="9"/>
    </row>
    <row r="122" spans="1:12" ht="15.75" customHeight="1" thickBot="1" x14ac:dyDescent="0.3">
      <c r="B122" s="15" t="s">
        <v>182</v>
      </c>
      <c r="C122" s="16"/>
      <c r="D122" s="16"/>
      <c r="E122" s="16"/>
      <c r="F122" s="16"/>
      <c r="G122" s="14"/>
      <c r="L122" s="9"/>
    </row>
    <row r="123" spans="1:12" ht="15.75" customHeight="1" thickBot="1" x14ac:dyDescent="0.3">
      <c r="B123" s="154">
        <v>249.70760000000001</v>
      </c>
      <c r="C123" s="155"/>
      <c r="D123" s="155"/>
      <c r="E123" s="155"/>
      <c r="F123" s="156"/>
      <c r="G123" s="14"/>
      <c r="L123" s="9"/>
    </row>
    <row r="124" spans="1:12" ht="9" customHeight="1" x14ac:dyDescent="0.25">
      <c r="B124" s="16"/>
      <c r="C124" s="16"/>
      <c r="D124" s="16"/>
      <c r="E124" s="16"/>
      <c r="F124" s="16"/>
      <c r="G124" s="14"/>
      <c r="L124" s="9"/>
    </row>
    <row r="125" spans="1:12" ht="15.75" customHeight="1" thickBot="1" x14ac:dyDescent="0.3">
      <c r="B125" s="15" t="s">
        <v>172</v>
      </c>
      <c r="C125" s="16"/>
      <c r="D125" s="16"/>
      <c r="E125" s="16"/>
      <c r="F125" s="16"/>
      <c r="G125" s="14"/>
      <c r="L125" s="9"/>
    </row>
    <row r="126" spans="1:12" ht="15.75" customHeight="1" thickBot="1" x14ac:dyDescent="0.3">
      <c r="B126" s="151">
        <v>63981000</v>
      </c>
      <c r="C126" s="152"/>
      <c r="D126" s="152"/>
      <c r="E126" s="152"/>
      <c r="F126" s="153"/>
      <c r="G126" s="14"/>
      <c r="L126" s="9"/>
    </row>
    <row r="127" spans="1:12" ht="15.75" customHeight="1" x14ac:dyDescent="0.25">
      <c r="B127" s="47"/>
      <c r="C127" s="47"/>
      <c r="D127" s="47"/>
      <c r="E127" s="47"/>
      <c r="F127" s="47"/>
      <c r="G127" s="14"/>
      <c r="L127" s="9"/>
    </row>
    <row r="128" spans="1:12" ht="15.75" customHeight="1" thickBot="1" x14ac:dyDescent="0.3">
      <c r="B128" s="15" t="s">
        <v>184</v>
      </c>
      <c r="C128" s="16"/>
      <c r="D128" s="16"/>
      <c r="E128" s="16"/>
      <c r="F128" s="16"/>
      <c r="G128" s="14"/>
      <c r="L128" s="9"/>
    </row>
    <row r="129" spans="1:20" ht="15.75" customHeight="1" thickBot="1" x14ac:dyDescent="0.3">
      <c r="B129" s="154">
        <v>57989520</v>
      </c>
      <c r="C129" s="155"/>
      <c r="D129" s="155"/>
      <c r="E129" s="155"/>
      <c r="F129" s="156"/>
      <c r="G129" s="14"/>
      <c r="L129" s="9"/>
    </row>
    <row r="130" spans="1:20" ht="15.75" customHeight="1" x14ac:dyDescent="0.25">
      <c r="B130" s="50"/>
      <c r="C130" s="50"/>
      <c r="D130" s="50"/>
      <c r="E130" s="50"/>
      <c r="F130" s="50"/>
      <c r="G130" s="14"/>
      <c r="L130" s="9"/>
    </row>
    <row r="131" spans="1:20" ht="15.75" customHeight="1" thickBot="1" x14ac:dyDescent="0.3">
      <c r="B131" s="15" t="s">
        <v>185</v>
      </c>
      <c r="C131" s="16"/>
      <c r="D131" s="16"/>
      <c r="E131" s="16"/>
      <c r="F131" s="16"/>
      <c r="G131" s="14"/>
      <c r="L131" s="9"/>
    </row>
    <row r="132" spans="1:20" ht="15.75" customHeight="1" thickBot="1" x14ac:dyDescent="0.3">
      <c r="B132" s="163">
        <f xml:space="preserve"> (B120 + (B123*B117/B126))*1000*1.2</f>
        <v>243.00702251163312</v>
      </c>
      <c r="C132" s="149"/>
      <c r="D132" s="149"/>
      <c r="E132" s="149"/>
      <c r="F132" s="150"/>
      <c r="G132" s="14"/>
      <c r="L132" s="9"/>
    </row>
    <row r="133" spans="1:20" ht="12.75" customHeight="1" x14ac:dyDescent="0.25">
      <c r="B133" s="46"/>
      <c r="C133" s="46"/>
      <c r="D133" s="46"/>
      <c r="E133" s="46"/>
      <c r="F133" s="46"/>
      <c r="G133" s="14"/>
      <c r="L133" s="9"/>
    </row>
    <row r="134" spans="1:20" ht="20.100000000000001" customHeight="1" thickBot="1" x14ac:dyDescent="0.3">
      <c r="B134" s="15" t="s">
        <v>186</v>
      </c>
      <c r="C134" s="15"/>
      <c r="D134" s="15"/>
      <c r="E134" s="15"/>
      <c r="F134" s="15"/>
      <c r="G134" s="14"/>
      <c r="L134" s="9"/>
    </row>
    <row r="135" spans="1:20" ht="23.25" customHeight="1" thickBot="1" x14ac:dyDescent="0.3">
      <c r="B135" s="163">
        <f>B144/1.2/1000-(B117*B123)/B126</f>
        <v>8.4951625860565733E-2</v>
      </c>
      <c r="C135" s="149"/>
      <c r="D135" s="149"/>
      <c r="E135" s="149"/>
      <c r="F135" s="150"/>
      <c r="G135" s="14"/>
      <c r="L135" s="9"/>
    </row>
    <row r="136" spans="1:20" ht="17.25" customHeight="1" x14ac:dyDescent="0.25">
      <c r="B136" s="15"/>
      <c r="C136" s="46"/>
      <c r="D136" s="46"/>
      <c r="E136" s="46"/>
      <c r="F136" s="46"/>
      <c r="G136" s="14"/>
      <c r="L136" s="9"/>
    </row>
    <row r="137" spans="1:20" ht="20.100000000000001" customHeight="1" thickBot="1" x14ac:dyDescent="0.3">
      <c r="B137" s="15" t="s">
        <v>179</v>
      </c>
      <c r="C137" s="46"/>
      <c r="D137" s="46"/>
      <c r="E137" s="46"/>
      <c r="F137" s="46"/>
      <c r="G137" s="14"/>
      <c r="L137" s="9"/>
    </row>
    <row r="138" spans="1:20" ht="20.100000000000001" customHeight="1" thickBot="1" x14ac:dyDescent="0.3">
      <c r="B138" s="62">
        <f>(MIN(B132-B144)*B129/1000 ) * SUMIFS(Hárok2!$C$2:$C$13, Hárok2!$B$2:$B$13, "&gt;=" &amp; MONTH(DATEVALUE(TEXT(E114, "mmmm") &amp; " 1")), Hárok2!$B$2:$B$13, "&lt;=" &amp; MONTH(DATEVALUE(TEXT(F114, "mmmm") &amp; " 1")))</f>
        <v>1774762.0501806729</v>
      </c>
      <c r="C138" s="60"/>
      <c r="D138" s="60"/>
      <c r="E138" s="60"/>
      <c r="F138" s="61"/>
      <c r="G138" s="65"/>
      <c r="H138" s="66"/>
      <c r="L138" s="9"/>
    </row>
    <row r="139" spans="1:20" ht="20.100000000000001" customHeight="1" x14ac:dyDescent="0.25">
      <c r="B139" s="46"/>
      <c r="C139" s="46"/>
      <c r="D139" s="46"/>
      <c r="E139" s="46"/>
      <c r="F139" s="46"/>
      <c r="G139" s="14"/>
      <c r="J139">
        <f>SUMIFS(Hárok2!$C$2:$C$13,Hárok2!$B$2:$B$13,"="&amp;MONTH(DATEVALUE(TEXT(B156,"mmmm")&amp;" 1"))*OR(SUMIFS(Hárok2!$C$2:$C$13,Hárok2!$B$2:$B$13,"="&amp;MONTH(DATEVALUE(TEXT(B156,"mmmm")&amp;" 1"))*OR(SUMIFS(Hárok2!$C$2:$C$13,Hárok2!$B$2:$B$13,"&gt;="&amp;MONTH(DATEVALUE(TEXT(B156,"mmmm")&amp;" 1")))))))</f>
        <v>0.17599999999999999</v>
      </c>
      <c r="K139">
        <f>J139/J140</f>
        <v>0.30823117338003503</v>
      </c>
      <c r="L139" s="9"/>
    </row>
    <row r="140" spans="1:20" ht="20.100000000000001" customHeight="1" x14ac:dyDescent="0.3">
      <c r="A140" s="11" t="s">
        <v>178</v>
      </c>
      <c r="B140" s="17"/>
      <c r="C140" s="17"/>
      <c r="D140" s="20"/>
      <c r="E140" s="20"/>
      <c r="F140" s="16"/>
      <c r="J140">
        <f>SUMIFS(Hárok2!$C$2:$C$13, Hárok2!$B$2:$B$13, "&gt;=" &amp; MONTH(DATEVALUE(TEXT(E60, "mmmm") &amp; " 1")), Hárok2!$B$2:$B$13, "&lt;=" &amp; MONTH(DATEVALUE(TEXT(F60, "mmmm") &amp; " 1")))</f>
        <v>0.57099999999999995</v>
      </c>
      <c r="K140">
        <f>J140*100</f>
        <v>57.099999999999994</v>
      </c>
      <c r="L140" s="9">
        <f>100/K140</f>
        <v>1.7513134851138354</v>
      </c>
      <c r="M140" s="64">
        <f>B84/B150</f>
        <v>0.44565103896519032</v>
      </c>
      <c r="N140" s="64">
        <f>J140*M140</f>
        <v>0.25446674324912366</v>
      </c>
      <c r="O140" s="64">
        <f>M140*$B$150</f>
        <v>1577820.3497247123</v>
      </c>
      <c r="P140" t="s">
        <v>198</v>
      </c>
      <c r="Q140">
        <v>1</v>
      </c>
      <c r="R140">
        <v>0.17599999999999999</v>
      </c>
      <c r="S140" s="75">
        <f>R140*100</f>
        <v>17.599999999999998</v>
      </c>
      <c r="T140" s="64"/>
    </row>
    <row r="141" spans="1:20" ht="20.100000000000001" customHeight="1" x14ac:dyDescent="0.3">
      <c r="A141" s="55"/>
      <c r="B141" s="56"/>
      <c r="C141" s="56"/>
      <c r="D141" s="16"/>
      <c r="E141" s="16"/>
      <c r="F141" s="16"/>
      <c r="J141">
        <f>SUMIFS(Hárok2!$C$2:$C$13, Hárok2!$B$2:$B$13, "&gt;=" &amp; MONTH(DATEVALUE(TEXT(E87, "mmmm") &amp; " 1")), Hárok2!$B$2:$B$13, "&lt;=" &amp; MONTH(DATEVALUE(TEXT(F87, "mmmm") &amp; " 1")))</f>
        <v>6.8000000000000005E-2</v>
      </c>
      <c r="K141">
        <f t="shared" ref="K141:K142" si="0">J141*100</f>
        <v>6.8000000000000007</v>
      </c>
      <c r="L141" s="9">
        <f t="shared" ref="L141:L142" si="1">100/K141</f>
        <v>14.705882352941176</v>
      </c>
      <c r="M141" s="64">
        <f>B111/B150</f>
        <v>5.3072277845241593E-2</v>
      </c>
      <c r="N141" s="64">
        <f>J141*M141</f>
        <v>3.6089148934764287E-3</v>
      </c>
      <c r="O141" s="64">
        <f t="shared" ref="O141:O142" si="2">M141*$B$150</f>
        <v>187901.54777807437</v>
      </c>
      <c r="P141" t="s">
        <v>199</v>
      </c>
      <c r="Q141">
        <v>2</v>
      </c>
      <c r="R141">
        <v>0.14499999999999999</v>
      </c>
      <c r="S141" s="75">
        <f t="shared" ref="S141:S151" si="3">R141*100</f>
        <v>14.499999999999998</v>
      </c>
    </row>
    <row r="142" spans="1:20" ht="20.100000000000001" customHeight="1" x14ac:dyDescent="0.25">
      <c r="B142" s="16"/>
      <c r="C142" s="16"/>
      <c r="D142" s="16"/>
      <c r="E142" s="16"/>
      <c r="F142" s="16"/>
      <c r="J142">
        <f>SUMIFS(Hárok2!$C$2:$C$13, Hárok2!$B$2:$B$13, "&gt;=" &amp; MONTH(DATEVALUE(TEXT(E114, "mmmm") &amp; " 1")), Hárok2!$B$2:$B$13, "&lt;=" &amp; MONTH(DATEVALUE(TEXT(F114, "mmmm") &amp; " 1")))</f>
        <v>0.36099999999999999</v>
      </c>
      <c r="K142">
        <f t="shared" si="0"/>
        <v>36.1</v>
      </c>
      <c r="L142" s="9">
        <f t="shared" si="1"/>
        <v>2.7700831024930745</v>
      </c>
      <c r="M142" s="64">
        <f>B138/B150</f>
        <v>0.50127668318956808</v>
      </c>
      <c r="N142" s="64">
        <f>M142*J142</f>
        <v>0.18096088263143406</v>
      </c>
      <c r="O142" s="64">
        <f t="shared" si="2"/>
        <v>1774762.0501806729</v>
      </c>
      <c r="P142" t="s">
        <v>200</v>
      </c>
      <c r="Q142">
        <v>3</v>
      </c>
      <c r="R142">
        <v>0.14000000000000001</v>
      </c>
      <c r="S142" s="75">
        <f t="shared" si="3"/>
        <v>14.000000000000002</v>
      </c>
    </row>
    <row r="143" spans="1:20" ht="15.75" customHeight="1" thickBot="1" x14ac:dyDescent="0.3">
      <c r="B143" s="15" t="s">
        <v>50</v>
      </c>
      <c r="C143" s="16"/>
      <c r="D143" s="16"/>
      <c r="E143" s="16"/>
      <c r="F143" s="16"/>
      <c r="L143" s="9"/>
      <c r="P143" t="s">
        <v>201</v>
      </c>
      <c r="Q143">
        <v>4</v>
      </c>
      <c r="R143">
        <v>0.09</v>
      </c>
      <c r="S143" s="75">
        <f t="shared" si="3"/>
        <v>9</v>
      </c>
    </row>
    <row r="144" spans="1:20" ht="15.75" customHeight="1" thickBot="1" x14ac:dyDescent="0.3">
      <c r="B144" s="163">
        <f>MIN(199,(B54+20))</f>
        <v>158.228973544312</v>
      </c>
      <c r="C144" s="149"/>
      <c r="D144" s="149"/>
      <c r="E144" s="149"/>
      <c r="F144" s="150"/>
      <c r="L144" s="9"/>
      <c r="N144">
        <f>$B$150*J140</f>
        <v>2021616.3341272552</v>
      </c>
      <c r="P144" t="s">
        <v>202</v>
      </c>
      <c r="Q144">
        <v>5</v>
      </c>
      <c r="R144">
        <v>0.02</v>
      </c>
      <c r="S144" s="75">
        <f t="shared" si="3"/>
        <v>2</v>
      </c>
    </row>
    <row r="145" spans="2:19" ht="15.75" customHeight="1" x14ac:dyDescent="0.25">
      <c r="B145" s="16"/>
      <c r="C145" s="16"/>
      <c r="D145" s="16"/>
      <c r="E145" s="16"/>
      <c r="F145" s="16"/>
      <c r="L145" s="9"/>
      <c r="N145">
        <f t="shared" ref="N145:N146" si="4">$B$150*J141</f>
        <v>240752.90844247528</v>
      </c>
      <c r="P145" t="s">
        <v>203</v>
      </c>
      <c r="Q145">
        <v>6</v>
      </c>
      <c r="R145">
        <v>1.6E-2</v>
      </c>
      <c r="S145" s="75">
        <f t="shared" si="3"/>
        <v>1.6</v>
      </c>
    </row>
    <row r="146" spans="2:19" ht="15.75" customHeight="1" thickBot="1" x14ac:dyDescent="0.3">
      <c r="B146" s="15" t="s">
        <v>187</v>
      </c>
      <c r="C146" s="16"/>
      <c r="D146" s="16"/>
      <c r="E146" s="16"/>
      <c r="F146" s="16"/>
      <c r="L146" s="9"/>
      <c r="N146">
        <f t="shared" si="4"/>
        <v>1278114.7051137288</v>
      </c>
      <c r="P146" t="s">
        <v>204</v>
      </c>
      <c r="Q146">
        <v>7</v>
      </c>
      <c r="R146">
        <v>1.6E-2</v>
      </c>
      <c r="S146" s="75">
        <f t="shared" si="3"/>
        <v>1.6</v>
      </c>
    </row>
    <row r="147" spans="2:19" ht="15.75" customHeight="1" thickBot="1" x14ac:dyDescent="0.3">
      <c r="B147" s="148">
        <f>(B135*B129+B108*B102+B81*B75)/SUM(B75+B129+B102)</f>
        <v>8.5577769559476352E-2</v>
      </c>
      <c r="C147" s="149"/>
      <c r="D147" s="149"/>
      <c r="E147" s="149"/>
      <c r="F147" s="150"/>
      <c r="L147" s="9"/>
      <c r="P147" t="s">
        <v>205</v>
      </c>
      <c r="Q147">
        <v>8</v>
      </c>
      <c r="R147">
        <v>1.6E-2</v>
      </c>
      <c r="S147" s="75">
        <f t="shared" si="3"/>
        <v>1.6</v>
      </c>
    </row>
    <row r="148" spans="2:19" ht="15.75" customHeight="1" x14ac:dyDescent="0.25">
      <c r="B148" s="16"/>
      <c r="C148" s="16"/>
      <c r="D148" s="16"/>
      <c r="E148" s="16"/>
      <c r="F148" s="16"/>
      <c r="L148" s="9"/>
      <c r="P148" t="s">
        <v>206</v>
      </c>
      <c r="Q148">
        <v>9</v>
      </c>
      <c r="R148">
        <v>0.02</v>
      </c>
      <c r="S148" s="75">
        <f t="shared" si="3"/>
        <v>2</v>
      </c>
    </row>
    <row r="149" spans="2:19" ht="15.75" customHeight="1" thickBot="1" x14ac:dyDescent="0.3">
      <c r="B149" s="15" t="s">
        <v>174</v>
      </c>
      <c r="C149" s="16"/>
      <c r="D149" s="15"/>
      <c r="E149" s="15"/>
      <c r="F149" s="16"/>
      <c r="L149" s="9"/>
      <c r="P149" t="s">
        <v>207</v>
      </c>
      <c r="Q149">
        <v>10</v>
      </c>
      <c r="R149">
        <v>0.08</v>
      </c>
      <c r="S149" s="75">
        <f t="shared" si="3"/>
        <v>8</v>
      </c>
    </row>
    <row r="150" spans="2:19" ht="15.75" customHeight="1" thickBot="1" x14ac:dyDescent="0.3">
      <c r="B150" s="169">
        <f>B138+B111+B84</f>
        <v>3540483.9476834596</v>
      </c>
      <c r="C150" s="170"/>
      <c r="D150" s="53"/>
      <c r="E150" s="171"/>
      <c r="F150" s="171"/>
      <c r="H150" s="44"/>
      <c r="L150" s="9"/>
      <c r="P150" t="s">
        <v>208</v>
      </c>
      <c r="Q150">
        <v>11</v>
      </c>
      <c r="R150">
        <v>0.12</v>
      </c>
      <c r="S150" s="75">
        <f t="shared" si="3"/>
        <v>12</v>
      </c>
    </row>
    <row r="151" spans="2:19" ht="15.75" customHeight="1" x14ac:dyDescent="0.25">
      <c r="B151" s="16"/>
      <c r="C151" s="16"/>
      <c r="D151" s="16"/>
      <c r="E151" s="16"/>
      <c r="F151" s="16"/>
      <c r="L151" s="9"/>
      <c r="P151" t="s">
        <v>209</v>
      </c>
      <c r="Q151">
        <v>12</v>
      </c>
      <c r="R151">
        <v>0.161</v>
      </c>
      <c r="S151" s="75">
        <f t="shared" si="3"/>
        <v>16.100000000000001</v>
      </c>
    </row>
    <row r="152" spans="2:19" ht="15.75" customHeight="1" x14ac:dyDescent="0.25">
      <c r="B152" s="16"/>
      <c r="C152" s="16"/>
      <c r="D152" s="16"/>
      <c r="E152" s="16"/>
      <c r="F152" s="16"/>
      <c r="L152" s="9"/>
    </row>
    <row r="153" spans="2:19" ht="20.100000000000001" customHeight="1" x14ac:dyDescent="0.25">
      <c r="B153" s="16"/>
      <c r="C153" s="16"/>
      <c r="D153" s="16"/>
      <c r="E153" s="16"/>
      <c r="F153" s="16"/>
      <c r="L153" s="9"/>
    </row>
    <row r="154" spans="2:19" ht="20.100000000000001" customHeight="1" x14ac:dyDescent="0.25">
      <c r="B154" s="21" t="s">
        <v>175</v>
      </c>
      <c r="C154" s="21"/>
      <c r="D154" s="21"/>
      <c r="E154" s="21"/>
      <c r="F154" s="22"/>
      <c r="G154" s="1"/>
      <c r="L154" s="9"/>
    </row>
    <row r="155" spans="2:19" ht="20.100000000000001" customHeight="1" x14ac:dyDescent="0.25">
      <c r="B155" s="23"/>
      <c r="C155" s="23"/>
      <c r="D155" s="23"/>
      <c r="E155" s="23"/>
      <c r="F155" s="22"/>
      <c r="L155" s="9"/>
      <c r="R155">
        <f>486333.42/B150</f>
        <v>0.13736354328571612</v>
      </c>
      <c r="S155">
        <f>B150*R155</f>
        <v>486333.42</v>
      </c>
    </row>
    <row r="156" spans="2:19" ht="20.100000000000001" customHeight="1" x14ac:dyDescent="0.25">
      <c r="B156" s="67" t="s">
        <v>22</v>
      </c>
      <c r="C156" s="67" t="s">
        <v>23</v>
      </c>
      <c r="D156" s="67" t="s">
        <v>24</v>
      </c>
      <c r="E156" s="67" t="s">
        <v>25</v>
      </c>
      <c r="F156" s="67" t="s">
        <v>26</v>
      </c>
      <c r="G156" s="68" t="s">
        <v>27</v>
      </c>
      <c r="J156" s="67" t="s">
        <v>22</v>
      </c>
      <c r="K156" s="67" t="s">
        <v>23</v>
      </c>
      <c r="L156" s="67" t="s">
        <v>24</v>
      </c>
      <c r="M156" s="67" t="s">
        <v>25</v>
      </c>
      <c r="N156" s="67" t="s">
        <v>26</v>
      </c>
      <c r="O156" s="68" t="s">
        <v>27</v>
      </c>
    </row>
    <row r="157" spans="2:19" ht="23.25" customHeight="1" x14ac:dyDescent="0.25">
      <c r="B157" s="76">
        <f>SUMIFS(Hárok2!$C$2:$C$13,Hárok2!$B$2:$B$13,"="&amp;MONTH(DATEVALUE(TEXT(B156,"mmmm")&amp;" 1"))*OR(SUMIFS(Hárok2!$C$2:$C$13,Hárok2!$B$2:$B$13,"="&amp;MONTH(DATEVALUE(TEXT(B156,"mmmm")&amp;" 1"))*OR(SUMIFS(Hárok2!$C$2:$C$13,Hárok2!$B$2:$B$13,"&gt;="&amp;MONTH(DATEVALUE(TEXT(B156,"mmmm")&amp;" 1")))))))*B150</f>
        <v>623125.1747922888</v>
      </c>
      <c r="C157" s="69">
        <f>B150*Hárok2!C3</f>
        <v>513370.1724141016</v>
      </c>
      <c r="D157" s="69">
        <f>Hárok2!C4*'Formulár povodny'!B150</f>
        <v>495667.7526756844</v>
      </c>
      <c r="E157" s="69">
        <f>Hárok2!C5*'Formulár povodny'!B150</f>
        <v>318643.55529151135</v>
      </c>
      <c r="F157" s="69">
        <f>B150*Hárok2!C6</f>
        <v>70809.678953669194</v>
      </c>
      <c r="G157" s="69">
        <f>Hárok2!C7*'Formulár povodny'!B150</f>
        <v>56647.743162935352</v>
      </c>
      <c r="I157" s="72" t="s">
        <v>211</v>
      </c>
      <c r="J157" s="9">
        <f>SUMIFS(Hárok2!$C$2:$C$13,Hárok2!$B$2:$B$13,"="&amp;MONTH(DATEVALUE(TEXT(B156,"mmmm")&amp;" 1")))</f>
        <v>0.17599999999999999</v>
      </c>
      <c r="K157" s="9">
        <f>SUMIFS(Hárok2!$C$2:$C$13,Hárok2!$B$2:$B$13,"="&amp;MONTH(DATEVALUE(TEXT(C156,"mmmm")&amp;" 1")))</f>
        <v>0.14499999999999999</v>
      </c>
      <c r="L157" s="9">
        <f>SUMIFS(Hárok2!$C$2:$C$13,Hárok2!$B$2:$B$13,"="&amp;MONTH(DATEVALUE(TEXT(D156,"mmmm")&amp;" 1")))</f>
        <v>0.14000000000000001</v>
      </c>
      <c r="M157" s="9">
        <f>SUMIFS(Hárok2!$C$2:$C$13,Hárok2!$B$2:$B$13,"="&amp;MONTH(DATEVALUE(TEXT(E156,"mmmm")&amp;" 1")))</f>
        <v>0.09</v>
      </c>
      <c r="N157" s="9">
        <f>SUMIFS(Hárok2!$C$2:$C$13,Hárok2!$B$2:$B$13,"="&amp;MONTH(DATEVALUE(TEXT(F156,"mmmm")&amp;" 1")))</f>
        <v>0.02</v>
      </c>
      <c r="O157" s="9">
        <f>SUMIFS(Hárok2!$C$2:$C$13,Hárok2!$B$2:$B$13,"="&amp;MONTH(DATEVALUE(TEXT(G156,"mmmm")&amp;" 1")))</f>
        <v>1.6E-2</v>
      </c>
    </row>
    <row r="158" spans="2:19" ht="60" x14ac:dyDescent="0.25">
      <c r="B158" s="70"/>
      <c r="C158" s="70"/>
      <c r="D158" s="70"/>
      <c r="E158" s="70"/>
      <c r="F158" s="70"/>
      <c r="G158" s="71"/>
      <c r="H158" s="10"/>
      <c r="I158" s="10"/>
      <c r="J158" s="73" t="s">
        <v>213</v>
      </c>
      <c r="L158" s="9"/>
    </row>
    <row r="159" spans="2:19" ht="24.95" customHeight="1" x14ac:dyDescent="0.25">
      <c r="B159" s="67" t="s">
        <v>28</v>
      </c>
      <c r="C159" s="67" t="s">
        <v>29</v>
      </c>
      <c r="D159" s="67" t="s">
        <v>30</v>
      </c>
      <c r="E159" s="67" t="s">
        <v>31</v>
      </c>
      <c r="F159" s="67" t="s">
        <v>32</v>
      </c>
      <c r="G159" s="68" t="s">
        <v>33</v>
      </c>
      <c r="I159" s="72" t="s">
        <v>211</v>
      </c>
      <c r="J159">
        <f>SUMIFS(Hárok2!$C$2:$C$13,Hárok2!$B$2:$B$13,"="&amp;MONTH(DATEVALUE(TEXT(B159,"mmmm")&amp;" 1")))</f>
        <v>1.6E-2</v>
      </c>
      <c r="K159">
        <f>SUMIFS(Hárok2!$C$2:$C$13,Hárok2!$B$2:$B$13,"="&amp;MONTH(DATEVALUE(TEXT(C159,"mmmm")&amp;" 1")))</f>
        <v>1.6E-2</v>
      </c>
      <c r="L159">
        <f>SUMIFS(Hárok2!$C$2:$C$13,Hárok2!$B$2:$B$13,"="&amp;MONTH(DATEVALUE(TEXT(D159,"mmmm")&amp;" 1")))</f>
        <v>0.02</v>
      </c>
      <c r="M159">
        <f>SUMIFS(Hárok2!$C$2:$C$13,Hárok2!$B$2:$B$13,"="&amp;MONTH(DATEVALUE(TEXT(E159,"mmmm")&amp;" 1")))</f>
        <v>0.08</v>
      </c>
      <c r="N159">
        <f>SUMIFS(Hárok2!$C$2:$C$13,Hárok2!$B$2:$B$13,"="&amp;MONTH(DATEVALUE(TEXT(F159,"mmmm")&amp;" 1")))</f>
        <v>0.12</v>
      </c>
      <c r="O159">
        <f>SUMIFS(Hárok2!$C$2:$C$13,Hárok2!$B$2:$B$13,"="&amp;MONTH(DATEVALUE(TEXT(G159,"mmmm")&amp;" 1")))</f>
        <v>0.161</v>
      </c>
    </row>
    <row r="160" spans="2:19" ht="15.75" customHeight="1" x14ac:dyDescent="0.25">
      <c r="B160" s="69">
        <f>Hárok2!C8*'Formulár povodny'!B150</f>
        <v>56647.743162935352</v>
      </c>
      <c r="C160" s="69">
        <f>Hárok2!C9*'Formulár povodny'!B150</f>
        <v>56647.743162935352</v>
      </c>
      <c r="D160" s="69">
        <f>B150*Hárok2!C10</f>
        <v>70809.678953669194</v>
      </c>
      <c r="E160" s="69">
        <f>Hárok2!C11*'Formulár povodny'!B150</f>
        <v>283238.71581467678</v>
      </c>
      <c r="F160" s="69">
        <f>Hárok2!C12*'Formulár povodny'!B150</f>
        <v>424858.07372201513</v>
      </c>
      <c r="G160" s="69">
        <f>B150*Hárok2!C13</f>
        <v>570017.91557703703</v>
      </c>
      <c r="J160" s="67" t="s">
        <v>28</v>
      </c>
      <c r="K160" s="67" t="s">
        <v>29</v>
      </c>
      <c r="L160" s="67" t="s">
        <v>30</v>
      </c>
      <c r="M160" s="67" t="s">
        <v>31</v>
      </c>
      <c r="N160" s="67" t="s">
        <v>32</v>
      </c>
      <c r="O160" s="68" t="s">
        <v>33</v>
      </c>
    </row>
    <row r="161" spans="2:15" ht="105" x14ac:dyDescent="0.25">
      <c r="B161" s="24"/>
      <c r="C161" s="24"/>
      <c r="D161" s="24"/>
      <c r="E161" s="24"/>
      <c r="F161" s="24"/>
      <c r="G161" s="13"/>
      <c r="H161" s="13"/>
      <c r="I161" s="13"/>
      <c r="L161" s="4"/>
      <c r="O161" s="73" t="s">
        <v>212</v>
      </c>
    </row>
    <row r="162" spans="2:15" ht="15.75" x14ac:dyDescent="0.25">
      <c r="B162" s="24"/>
      <c r="C162" s="24"/>
      <c r="D162" s="24"/>
      <c r="E162" s="24"/>
      <c r="F162" s="26"/>
      <c r="G162" s="13"/>
      <c r="H162" s="13"/>
      <c r="I162" s="13"/>
      <c r="J162" s="43"/>
      <c r="L162" s="4"/>
    </row>
    <row r="163" spans="2:15" ht="15.75" x14ac:dyDescent="0.25">
      <c r="B163" s="24"/>
      <c r="C163" s="24"/>
      <c r="D163" s="24"/>
      <c r="E163" s="24"/>
      <c r="F163" s="26"/>
      <c r="G163" s="13"/>
      <c r="H163" s="13"/>
      <c r="I163" s="13"/>
      <c r="J163" s="43"/>
      <c r="L163" s="4"/>
    </row>
    <row r="164" spans="2:15" ht="15.75" x14ac:dyDescent="0.25">
      <c r="B164" s="25" t="s">
        <v>52</v>
      </c>
      <c r="C164" s="24"/>
      <c r="D164" s="24"/>
      <c r="E164" s="24"/>
      <c r="F164" s="26"/>
      <c r="G164" s="13"/>
      <c r="H164" s="13"/>
      <c r="I164" s="13"/>
      <c r="J164" s="43"/>
      <c r="L164" s="4"/>
    </row>
    <row r="165" spans="2:15" ht="15.75" thickBot="1" x14ac:dyDescent="0.3">
      <c r="B165" s="16" t="s">
        <v>132</v>
      </c>
      <c r="C165" s="16"/>
      <c r="D165" s="16" t="s">
        <v>133</v>
      </c>
      <c r="E165" s="16"/>
      <c r="F165" s="27"/>
      <c r="J165" s="43"/>
      <c r="L165" s="4"/>
    </row>
    <row r="166" spans="2:15" ht="15.75" thickBot="1" x14ac:dyDescent="0.3">
      <c r="B166" s="39" t="s">
        <v>164</v>
      </c>
      <c r="C166" s="16"/>
      <c r="D166" s="39" t="s">
        <v>165</v>
      </c>
      <c r="E166" s="16"/>
      <c r="F166" s="27"/>
      <c r="J166" s="43"/>
      <c r="L166" s="4"/>
    </row>
    <row r="167" spans="2:15" x14ac:dyDescent="0.25">
      <c r="B167" s="28"/>
      <c r="C167" s="16"/>
      <c r="D167" s="16"/>
      <c r="E167" s="16"/>
      <c r="F167" s="27"/>
      <c r="J167" s="43"/>
      <c r="L167" s="4"/>
    </row>
    <row r="168" spans="2:15" ht="15.75" thickBot="1" x14ac:dyDescent="0.3">
      <c r="B168" s="16" t="s">
        <v>134</v>
      </c>
      <c r="C168" s="16"/>
      <c r="D168" s="16" t="s">
        <v>135</v>
      </c>
      <c r="E168" s="16"/>
      <c r="F168" s="27"/>
      <c r="J168" s="43"/>
      <c r="K168" s="63"/>
      <c r="L168" s="4"/>
    </row>
    <row r="169" spans="2:15" ht="15.75" thickBot="1" x14ac:dyDescent="0.3">
      <c r="B169" s="39" t="s">
        <v>166</v>
      </c>
      <c r="C169" s="16"/>
      <c r="D169" s="39" t="s">
        <v>165</v>
      </c>
      <c r="E169" s="16"/>
      <c r="F169" s="27"/>
      <c r="J169" s="43"/>
      <c r="L169" s="4"/>
    </row>
    <row r="170" spans="2:15" x14ac:dyDescent="0.25">
      <c r="B170" s="28"/>
      <c r="C170" s="16"/>
      <c r="D170" s="16"/>
      <c r="E170" s="16"/>
      <c r="F170" s="27"/>
      <c r="J170" s="43"/>
      <c r="L170" s="4"/>
    </row>
    <row r="171" spans="2:15" ht="15.75" thickBot="1" x14ac:dyDescent="0.3">
      <c r="B171" s="16" t="s">
        <v>136</v>
      </c>
      <c r="C171" s="16"/>
      <c r="D171" s="16" t="s">
        <v>137</v>
      </c>
      <c r="E171" s="16"/>
      <c r="F171" s="27"/>
      <c r="J171" s="43"/>
      <c r="L171" s="4"/>
    </row>
    <row r="172" spans="2:15" ht="15.75" thickBot="1" x14ac:dyDescent="0.3">
      <c r="B172" s="39"/>
      <c r="C172" s="16"/>
      <c r="D172" s="39"/>
      <c r="E172" s="16"/>
      <c r="F172" s="27"/>
      <c r="L172" s="4"/>
    </row>
    <row r="173" spans="2:15" x14ac:dyDescent="0.25">
      <c r="B173" s="28"/>
      <c r="C173" s="16"/>
      <c r="D173" s="16"/>
      <c r="E173" s="16"/>
      <c r="F173" s="27"/>
      <c r="L173" s="4"/>
    </row>
    <row r="174" spans="2:15" ht="15.75" thickBot="1" x14ac:dyDescent="0.3">
      <c r="B174" s="16" t="s">
        <v>138</v>
      </c>
      <c r="C174" s="16"/>
      <c r="D174" s="16" t="s">
        <v>139</v>
      </c>
      <c r="E174" s="16"/>
      <c r="F174" s="27"/>
      <c r="L174" s="4"/>
    </row>
    <row r="175" spans="2:15" ht="15.75" thickBot="1" x14ac:dyDescent="0.3">
      <c r="B175" s="39"/>
      <c r="C175" s="16"/>
      <c r="D175" s="39"/>
      <c r="E175" s="16"/>
      <c r="F175" s="27"/>
      <c r="L175" s="4"/>
    </row>
    <row r="176" spans="2:15" x14ac:dyDescent="0.25">
      <c r="B176" s="28"/>
      <c r="C176" s="16"/>
      <c r="D176" s="16"/>
      <c r="E176" s="16"/>
      <c r="F176" s="27"/>
      <c r="L176" s="4"/>
    </row>
    <row r="177" spans="2:12" ht="15.75" thickBot="1" x14ac:dyDescent="0.3">
      <c r="B177" s="16" t="s">
        <v>140</v>
      </c>
      <c r="C177" s="16"/>
      <c r="D177" s="16" t="s">
        <v>141</v>
      </c>
      <c r="E177" s="16"/>
      <c r="F177" s="27"/>
      <c r="L177" s="4"/>
    </row>
    <row r="178" spans="2:12" ht="15.75" thickBot="1" x14ac:dyDescent="0.3">
      <c r="B178" s="39"/>
      <c r="C178" s="16"/>
      <c r="D178" s="39"/>
      <c r="E178" s="16"/>
      <c r="F178" s="27"/>
      <c r="L178" s="4"/>
    </row>
    <row r="179" spans="2:12" x14ac:dyDescent="0.25">
      <c r="B179" s="28"/>
      <c r="C179" s="16"/>
      <c r="D179" s="16"/>
      <c r="E179" s="16"/>
      <c r="F179" s="27"/>
      <c r="L179" s="4"/>
    </row>
    <row r="180" spans="2:12" ht="15.75" thickBot="1" x14ac:dyDescent="0.3">
      <c r="B180" s="16" t="s">
        <v>140</v>
      </c>
      <c r="C180" s="16"/>
      <c r="D180" s="16" t="s">
        <v>141</v>
      </c>
      <c r="E180" s="16"/>
      <c r="F180" s="27"/>
      <c r="L180" s="4"/>
    </row>
    <row r="181" spans="2:12" ht="15.75" thickBot="1" x14ac:dyDescent="0.3">
      <c r="B181" s="39"/>
      <c r="C181" s="16"/>
      <c r="D181" s="39"/>
      <c r="E181" s="16"/>
      <c r="F181" s="27"/>
      <c r="L181" s="4"/>
    </row>
    <row r="182" spans="2:12" x14ac:dyDescent="0.25">
      <c r="B182" s="28"/>
      <c r="C182" s="16"/>
      <c r="D182" s="16"/>
      <c r="E182" s="16"/>
      <c r="F182" s="27"/>
      <c r="L182" s="4"/>
    </row>
    <row r="183" spans="2:12" ht="15.75" thickBot="1" x14ac:dyDescent="0.3">
      <c r="B183" s="16" t="s">
        <v>142</v>
      </c>
      <c r="C183" s="16"/>
      <c r="D183" s="16" t="s">
        <v>143</v>
      </c>
      <c r="E183" s="16"/>
      <c r="F183" s="27"/>
      <c r="L183" s="4"/>
    </row>
    <row r="184" spans="2:12" ht="15.75" thickBot="1" x14ac:dyDescent="0.3">
      <c r="B184" s="39"/>
      <c r="C184" s="16"/>
      <c r="D184" s="39"/>
      <c r="E184" s="16"/>
      <c r="F184" s="27"/>
      <c r="L184" s="4"/>
    </row>
    <row r="185" spans="2:12" x14ac:dyDescent="0.25">
      <c r="B185" s="28"/>
      <c r="C185" s="16"/>
      <c r="D185" s="16"/>
      <c r="E185" s="16"/>
      <c r="F185" s="27"/>
      <c r="L185" s="4"/>
    </row>
    <row r="186" spans="2:12" ht="15.75" thickBot="1" x14ac:dyDescent="0.3">
      <c r="B186" s="16" t="s">
        <v>144</v>
      </c>
      <c r="C186" s="16"/>
      <c r="D186" s="16" t="s">
        <v>145</v>
      </c>
      <c r="E186" s="16"/>
      <c r="F186" s="27"/>
      <c r="L186" s="4"/>
    </row>
    <row r="187" spans="2:12" ht="15.75" thickBot="1" x14ac:dyDescent="0.3">
      <c r="B187" s="39"/>
      <c r="C187" s="16"/>
      <c r="D187" s="39"/>
      <c r="E187" s="16"/>
      <c r="F187" s="27"/>
      <c r="L187" s="4"/>
    </row>
    <row r="188" spans="2:12" x14ac:dyDescent="0.25">
      <c r="B188" s="28"/>
      <c r="C188" s="16"/>
      <c r="D188" s="16"/>
      <c r="E188" s="16"/>
      <c r="F188" s="27"/>
      <c r="L188" s="4"/>
    </row>
    <row r="189" spans="2:12" ht="15.75" thickBot="1" x14ac:dyDescent="0.3">
      <c r="B189" s="16" t="s">
        <v>146</v>
      </c>
      <c r="C189" s="16"/>
      <c r="D189" s="16" t="s">
        <v>147</v>
      </c>
      <c r="E189" s="16"/>
      <c r="F189" s="27"/>
      <c r="L189" s="4"/>
    </row>
    <row r="190" spans="2:12" ht="15.75" thickBot="1" x14ac:dyDescent="0.3">
      <c r="B190" s="39"/>
      <c r="C190" s="16"/>
      <c r="D190" s="39"/>
      <c r="E190" s="16"/>
      <c r="F190" s="27"/>
      <c r="L190" s="4"/>
    </row>
    <row r="191" spans="2:12" x14ac:dyDescent="0.25">
      <c r="B191" s="28"/>
      <c r="C191" s="16"/>
      <c r="D191" s="16"/>
      <c r="E191" s="16"/>
      <c r="F191" s="27"/>
      <c r="L191" s="4"/>
    </row>
    <row r="192" spans="2:12" ht="15.75" thickBot="1" x14ac:dyDescent="0.3">
      <c r="B192" s="16" t="s">
        <v>148</v>
      </c>
      <c r="C192" s="16"/>
      <c r="D192" s="16" t="s">
        <v>149</v>
      </c>
      <c r="E192" s="16"/>
      <c r="F192" s="27"/>
      <c r="L192" s="4"/>
    </row>
    <row r="193" spans="2:12" ht="15.75" thickBot="1" x14ac:dyDescent="0.3">
      <c r="B193" s="39"/>
      <c r="C193" s="16"/>
      <c r="D193" s="39"/>
      <c r="E193" s="16"/>
      <c r="F193" s="27"/>
      <c r="L193" s="4"/>
    </row>
    <row r="194" spans="2:12" x14ac:dyDescent="0.25">
      <c r="B194" s="28"/>
      <c r="C194" s="16"/>
      <c r="D194" s="16"/>
      <c r="E194" s="16"/>
      <c r="F194" s="27"/>
      <c r="L194" s="4"/>
    </row>
    <row r="195" spans="2:12" ht="15.75" thickBot="1" x14ac:dyDescent="0.3">
      <c r="B195" s="16" t="s">
        <v>150</v>
      </c>
      <c r="C195" s="16"/>
      <c r="D195" s="16" t="s">
        <v>151</v>
      </c>
      <c r="E195" s="16"/>
      <c r="F195" s="27"/>
      <c r="L195" s="4"/>
    </row>
    <row r="196" spans="2:12" ht="15.75" thickBot="1" x14ac:dyDescent="0.3">
      <c r="B196" s="39"/>
      <c r="C196" s="16"/>
      <c r="D196" s="39"/>
      <c r="E196" s="16"/>
      <c r="F196" s="27"/>
      <c r="L196" s="4"/>
    </row>
    <row r="197" spans="2:12" x14ac:dyDescent="0.25">
      <c r="B197" s="16"/>
      <c r="C197" s="16"/>
      <c r="D197" s="16"/>
      <c r="E197" s="16"/>
      <c r="F197" s="16"/>
    </row>
    <row r="198" spans="2:12" x14ac:dyDescent="0.25">
      <c r="B198" s="168" t="s">
        <v>17</v>
      </c>
      <c r="C198" s="168"/>
      <c r="D198" s="168"/>
      <c r="E198" s="168"/>
      <c r="F198" s="168"/>
      <c r="L198" s="164"/>
    </row>
    <row r="199" spans="2:12" ht="7.5" customHeight="1" x14ac:dyDescent="0.25">
      <c r="B199" s="16"/>
      <c r="C199" s="16"/>
      <c r="D199" s="16"/>
      <c r="E199" s="16"/>
      <c r="F199" s="16"/>
      <c r="L199" s="164"/>
    </row>
    <row r="200" spans="2:12" ht="159.75" customHeight="1" x14ac:dyDescent="0.25">
      <c r="B200" s="174" t="s">
        <v>51</v>
      </c>
      <c r="C200" s="175"/>
      <c r="D200" s="175"/>
      <c r="E200" s="175"/>
      <c r="F200" s="175"/>
      <c r="G200" s="40" t="s">
        <v>167</v>
      </c>
      <c r="L200" s="164"/>
    </row>
    <row r="201" spans="2:12" ht="7.5" customHeight="1" x14ac:dyDescent="0.25">
      <c r="B201" s="29"/>
      <c r="C201" s="30"/>
      <c r="D201" s="30"/>
      <c r="E201" s="30"/>
      <c r="F201" s="30"/>
      <c r="L201" s="164"/>
    </row>
    <row r="202" spans="2:12" ht="75.599999999999994" customHeight="1" x14ac:dyDescent="0.25">
      <c r="B202" s="174" t="s">
        <v>38</v>
      </c>
      <c r="C202" s="174"/>
      <c r="D202" s="174"/>
      <c r="E202" s="174"/>
      <c r="F202" s="174"/>
      <c r="G202" s="40" t="s">
        <v>167</v>
      </c>
      <c r="L202" s="164"/>
    </row>
    <row r="203" spans="2:12" ht="7.5" customHeight="1" x14ac:dyDescent="0.25">
      <c r="B203" s="29"/>
      <c r="C203" s="29"/>
      <c r="D203" s="29"/>
      <c r="E203" s="29"/>
      <c r="F203" s="29"/>
      <c r="L203" s="164"/>
    </row>
    <row r="204" spans="2:12" ht="45.95" customHeight="1" x14ac:dyDescent="0.25">
      <c r="B204" s="174" t="s">
        <v>39</v>
      </c>
      <c r="C204" s="174"/>
      <c r="D204" s="174"/>
      <c r="E204" s="174"/>
      <c r="F204" s="174"/>
      <c r="G204" s="40" t="s">
        <v>167</v>
      </c>
      <c r="L204" s="164"/>
    </row>
    <row r="205" spans="2:12" ht="7.5" customHeight="1" x14ac:dyDescent="0.25">
      <c r="B205" s="29"/>
      <c r="C205" s="29"/>
      <c r="D205" s="29"/>
      <c r="E205" s="29"/>
      <c r="F205" s="29"/>
      <c r="L205" s="164"/>
    </row>
    <row r="206" spans="2:12" ht="32.1" customHeight="1" x14ac:dyDescent="0.25">
      <c r="B206" s="193" t="s">
        <v>40</v>
      </c>
      <c r="C206" s="174"/>
      <c r="D206" s="174"/>
      <c r="E206" s="174"/>
      <c r="F206" s="174"/>
      <c r="G206" s="40" t="s">
        <v>167</v>
      </c>
      <c r="L206" s="164"/>
    </row>
    <row r="207" spans="2:12" ht="7.5" customHeight="1" x14ac:dyDescent="0.25">
      <c r="B207" s="29"/>
      <c r="C207" s="29"/>
      <c r="D207" s="29"/>
      <c r="E207" s="29"/>
      <c r="F207" s="29"/>
      <c r="L207" s="164"/>
    </row>
    <row r="208" spans="2:12" ht="45.95" customHeight="1" x14ac:dyDescent="0.25">
      <c r="B208" s="192" t="s">
        <v>41</v>
      </c>
      <c r="C208" s="192"/>
      <c r="D208" s="192"/>
      <c r="E208" s="192"/>
      <c r="F208" s="192"/>
      <c r="G208" s="40" t="s">
        <v>167</v>
      </c>
      <c r="L208" s="164"/>
    </row>
    <row r="209" spans="2:12" ht="6.95" customHeight="1" x14ac:dyDescent="0.25">
      <c r="B209" s="31"/>
      <c r="C209" s="31"/>
      <c r="D209" s="31"/>
      <c r="E209" s="31"/>
      <c r="F209" s="31"/>
      <c r="L209" s="164"/>
    </row>
    <row r="210" spans="2:12" ht="45.95" customHeight="1" x14ac:dyDescent="0.25">
      <c r="B210" s="192" t="s">
        <v>42</v>
      </c>
      <c r="C210" s="192"/>
      <c r="D210" s="192"/>
      <c r="E210" s="192"/>
      <c r="F210" s="192"/>
      <c r="G210" s="40" t="s">
        <v>167</v>
      </c>
      <c r="L210" s="164"/>
    </row>
    <row r="211" spans="2:12" ht="7.5" customHeight="1" x14ac:dyDescent="0.25">
      <c r="B211" s="29"/>
      <c r="C211" s="29"/>
      <c r="D211" s="29"/>
      <c r="E211" s="29"/>
      <c r="F211" s="29"/>
      <c r="L211" s="164"/>
    </row>
    <row r="212" spans="2:12" ht="47.1" customHeight="1" x14ac:dyDescent="0.25">
      <c r="B212" s="174" t="s">
        <v>43</v>
      </c>
      <c r="C212" s="174"/>
      <c r="D212" s="174"/>
      <c r="E212" s="174"/>
      <c r="F212" s="174"/>
      <c r="G212" s="40" t="s">
        <v>167</v>
      </c>
      <c r="L212" s="164"/>
    </row>
    <row r="213" spans="2:12" ht="7.5" customHeight="1" x14ac:dyDescent="0.25">
      <c r="B213" s="29"/>
      <c r="C213" s="29"/>
      <c r="D213" s="29"/>
      <c r="E213" s="29"/>
      <c r="F213" s="29"/>
      <c r="L213" s="164"/>
    </row>
    <row r="214" spans="2:12" ht="7.5" customHeight="1" x14ac:dyDescent="0.25">
      <c r="B214" s="29"/>
      <c r="C214" s="29"/>
      <c r="D214" s="29"/>
      <c r="E214" s="29"/>
      <c r="F214" s="29"/>
      <c r="L214" s="164"/>
    </row>
    <row r="215" spans="2:12" ht="46.5" customHeight="1" x14ac:dyDescent="0.25">
      <c r="B215" s="174" t="s">
        <v>44</v>
      </c>
      <c r="C215" s="175"/>
      <c r="D215" s="175"/>
      <c r="E215" s="175"/>
      <c r="F215" s="175"/>
      <c r="G215" s="40" t="s">
        <v>167</v>
      </c>
      <c r="L215" s="164"/>
    </row>
    <row r="216" spans="2:12" ht="7.5" customHeight="1" x14ac:dyDescent="0.25">
      <c r="B216" s="29"/>
      <c r="C216" s="30"/>
      <c r="D216" s="30"/>
      <c r="E216" s="30"/>
      <c r="F216" s="30"/>
      <c r="L216" s="164"/>
    </row>
    <row r="217" spans="2:12" ht="7.5" customHeight="1" x14ac:dyDescent="0.25">
      <c r="B217" s="16"/>
      <c r="C217" s="16"/>
      <c r="D217" s="16"/>
      <c r="E217" s="16"/>
      <c r="F217" s="16"/>
      <c r="L217" s="164"/>
    </row>
    <row r="218" spans="2:12" ht="74.45" customHeight="1" x14ac:dyDescent="0.25">
      <c r="B218" s="174" t="s">
        <v>45</v>
      </c>
      <c r="C218" s="175"/>
      <c r="D218" s="175"/>
      <c r="E218" s="175"/>
      <c r="F218" s="175"/>
      <c r="G218" s="40" t="s">
        <v>167</v>
      </c>
      <c r="L218" s="164"/>
    </row>
    <row r="219" spans="2:12" ht="7.5" customHeight="1" x14ac:dyDescent="0.25">
      <c r="B219" s="16"/>
      <c r="C219" s="16"/>
      <c r="D219" s="16"/>
      <c r="E219" s="16"/>
      <c r="F219" s="16"/>
      <c r="L219" s="164"/>
    </row>
    <row r="220" spans="2:12" ht="33.950000000000003" customHeight="1" x14ac:dyDescent="0.25">
      <c r="B220" s="174" t="s">
        <v>46</v>
      </c>
      <c r="C220" s="175"/>
      <c r="D220" s="175"/>
      <c r="E220" s="175"/>
      <c r="F220" s="175"/>
      <c r="G220" s="40" t="s">
        <v>167</v>
      </c>
      <c r="L220" s="164"/>
    </row>
    <row r="221" spans="2:12" ht="7.5" customHeight="1" x14ac:dyDescent="0.25">
      <c r="B221" s="32"/>
      <c r="C221" s="33"/>
      <c r="D221" s="33"/>
      <c r="E221" s="33"/>
      <c r="F221" s="33"/>
      <c r="L221" s="164"/>
    </row>
    <row r="222" spans="2:12" ht="6.95" customHeight="1" x14ac:dyDescent="0.25">
      <c r="B222" s="29"/>
      <c r="C222" s="29"/>
      <c r="D222" s="29"/>
      <c r="E222" s="29"/>
      <c r="F222" s="29"/>
      <c r="L222" s="4"/>
    </row>
    <row r="223" spans="2:12" ht="33.950000000000003" customHeight="1" x14ac:dyDescent="0.25">
      <c r="B223" s="186" t="s">
        <v>47</v>
      </c>
      <c r="C223" s="186"/>
      <c r="D223" s="186"/>
      <c r="E223" s="186"/>
      <c r="F223" s="186"/>
      <c r="G223" s="40" t="s">
        <v>167</v>
      </c>
      <c r="L223" s="4"/>
    </row>
    <row r="224" spans="2:12" ht="24.95" customHeight="1" x14ac:dyDescent="0.25"/>
    <row r="225" spans="2:12" ht="19.5" customHeight="1" x14ac:dyDescent="0.25">
      <c r="B225" s="189" t="str">
        <f>IF(AND(G200="ÁNO",G202="ÁNO",G204="ÁNO",G206="ÁNO",G208="ÁNO",G210="ÁNO",G212="ÁNO",G215="ÁNO",G218="ÁNO",G220="ÁNO",G223="ÁNO"),"","NIE SÚ VYPLNENÉ VŠETKY ČESTNÉ PREHLÁSENIA")</f>
        <v/>
      </c>
      <c r="C225" s="190"/>
      <c r="D225" s="190"/>
      <c r="E225" s="190"/>
      <c r="F225" s="190"/>
      <c r="L225" s="164"/>
    </row>
    <row r="226" spans="2:12" ht="24.95" customHeight="1" thickBot="1" x14ac:dyDescent="0.3">
      <c r="L226" s="164"/>
    </row>
    <row r="227" spans="2:12" x14ac:dyDescent="0.25">
      <c r="B227" s="187"/>
      <c r="L227" s="164"/>
    </row>
    <row r="228" spans="2:12" ht="15.75" thickBot="1" x14ac:dyDescent="0.3">
      <c r="B228" s="188"/>
      <c r="L228" s="164"/>
    </row>
    <row r="229" spans="2:12" x14ac:dyDescent="0.25">
      <c r="L229" s="164"/>
    </row>
    <row r="230" spans="2:12" x14ac:dyDescent="0.25">
      <c r="L230" s="164"/>
    </row>
    <row r="231" spans="2:12" x14ac:dyDescent="0.25">
      <c r="L231" s="164"/>
    </row>
    <row r="232" spans="2:12" x14ac:dyDescent="0.25">
      <c r="L232" s="164"/>
    </row>
    <row r="233" spans="2:12" x14ac:dyDescent="0.25">
      <c r="L233" s="164"/>
    </row>
    <row r="234" spans="2:12" x14ac:dyDescent="0.25">
      <c r="L234" s="164"/>
    </row>
    <row r="235" spans="2:12" x14ac:dyDescent="0.25">
      <c r="L235" s="164"/>
    </row>
  </sheetData>
  <sheetProtection selectLockedCells="1"/>
  <mergeCells count="59">
    <mergeCell ref="B223:F223"/>
    <mergeCell ref="B227:B228"/>
    <mergeCell ref="B225:F225"/>
    <mergeCell ref="L32:L33"/>
    <mergeCell ref="B215:F215"/>
    <mergeCell ref="B218:F218"/>
    <mergeCell ref="B220:F220"/>
    <mergeCell ref="B208:F208"/>
    <mergeCell ref="B210:F210"/>
    <mergeCell ref="B206:F206"/>
    <mergeCell ref="B212:F212"/>
    <mergeCell ref="L225:L235"/>
    <mergeCell ref="L77:L78"/>
    <mergeCell ref="L198:L221"/>
    <mergeCell ref="B66:F66"/>
    <mergeCell ref="B78:F78"/>
    <mergeCell ref="B204:F204"/>
    <mergeCell ref="B200:F200"/>
    <mergeCell ref="B202:F202"/>
    <mergeCell ref="B9:F9"/>
    <mergeCell ref="B39:F39"/>
    <mergeCell ref="B42:F42"/>
    <mergeCell ref="B45:F45"/>
    <mergeCell ref="B48:F48"/>
    <mergeCell ref="B51:F51"/>
    <mergeCell ref="B54:F54"/>
    <mergeCell ref="B63:F63"/>
    <mergeCell ref="B33:F33"/>
    <mergeCell ref="B144:F144"/>
    <mergeCell ref="B105:F105"/>
    <mergeCell ref="B114:C114"/>
    <mergeCell ref="B117:F117"/>
    <mergeCell ref="L6:L23"/>
    <mergeCell ref="B1:F1"/>
    <mergeCell ref="B198:F198"/>
    <mergeCell ref="B69:F69"/>
    <mergeCell ref="B72:F72"/>
    <mergeCell ref="B150:C150"/>
    <mergeCell ref="E150:F150"/>
    <mergeCell ref="B60:C60"/>
    <mergeCell ref="B90:F90"/>
    <mergeCell ref="B96:F96"/>
    <mergeCell ref="B99:F99"/>
    <mergeCell ref="B75:F75"/>
    <mergeCell ref="B129:F129"/>
    <mergeCell ref="B132:F132"/>
    <mergeCell ref="B87:C87"/>
    <mergeCell ref="B102:F102"/>
    <mergeCell ref="B147:F147"/>
    <mergeCell ref="B126:F126"/>
    <mergeCell ref="B93:F93"/>
    <mergeCell ref="B12:C12"/>
    <mergeCell ref="E12:F12"/>
    <mergeCell ref="B120:F120"/>
    <mergeCell ref="B123:F123"/>
    <mergeCell ref="B28:C28"/>
    <mergeCell ref="B81:F81"/>
    <mergeCell ref="B108:F108"/>
    <mergeCell ref="B135:F135"/>
  </mergeCells>
  <phoneticPr fontId="32" type="noConversion"/>
  <dataValidations disablePrompts="1" count="1">
    <dataValidation type="list" allowBlank="1" showInputMessage="1" showErrorMessage="1" prompt="ZVOLIŤ MOŽNOSŤ" sqref="G200 G202 G204 G206 G208 G210 G212 G215 G218 G220 G223">
      <formula1>"Zvoliť možnosť, ÁNO, NIE"</formula1>
    </dataValidation>
  </dataValidations>
  <pageMargins left="0.7" right="0.7" top="0.75" bottom="0.75" header="0.3" footer="0.3"/>
  <pageSetup paperSize="8" scale="81" fitToHeight="0" orientation="landscape"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Okresy!$A$1:$A$79</xm:f>
          </x14:formula1>
          <xm:sqref>F19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2"/>
  <sheetViews>
    <sheetView topLeftCell="Q1" workbookViewId="0">
      <selection activeCell="X1" sqref="X1"/>
    </sheetView>
  </sheetViews>
  <sheetFormatPr defaultColWidth="8.85546875" defaultRowHeight="15" x14ac:dyDescent="0.25"/>
  <cols>
    <col min="9" max="9" width="11" bestFit="1" customWidth="1"/>
    <col min="11" max="11" width="11.85546875" bestFit="1" customWidth="1"/>
    <col min="12" max="12" width="9.5703125" customWidth="1"/>
    <col min="13" max="21" width="14.140625" customWidth="1"/>
    <col min="22" max="22" width="13.7109375" customWidth="1"/>
    <col min="23" max="29" width="12.42578125" customWidth="1"/>
    <col min="30" max="30" width="13.7109375" customWidth="1"/>
    <col min="31" max="45" width="12.42578125" customWidth="1"/>
    <col min="46" max="46" width="14" customWidth="1"/>
    <col min="47" max="47" width="14.140625" customWidth="1"/>
    <col min="48" max="48" width="22.85546875" customWidth="1"/>
    <col min="61" max="61" width="18.5703125" customWidth="1"/>
  </cols>
  <sheetData>
    <row r="1" spans="1:63" ht="96" x14ac:dyDescent="0.25">
      <c r="A1" s="34" t="s">
        <v>49</v>
      </c>
      <c r="B1" s="34" t="s">
        <v>12</v>
      </c>
      <c r="C1" s="34" t="s">
        <v>3</v>
      </c>
      <c r="D1" s="34" t="s">
        <v>5</v>
      </c>
      <c r="E1" s="34" t="s">
        <v>299</v>
      </c>
      <c r="F1" s="34" t="s">
        <v>6</v>
      </c>
      <c r="G1" s="34" t="s">
        <v>7</v>
      </c>
      <c r="H1" s="34" t="s">
        <v>0</v>
      </c>
      <c r="I1" s="35" t="s">
        <v>16</v>
      </c>
      <c r="J1" s="35" t="s">
        <v>34</v>
      </c>
      <c r="K1" s="34" t="s">
        <v>11</v>
      </c>
      <c r="L1" s="34" t="s">
        <v>171</v>
      </c>
      <c r="M1" s="132" t="s">
        <v>312</v>
      </c>
      <c r="N1" s="132" t="s">
        <v>263</v>
      </c>
      <c r="O1" s="132" t="s">
        <v>315</v>
      </c>
      <c r="P1" s="132" t="s">
        <v>316</v>
      </c>
      <c r="Q1" s="132" t="s">
        <v>264</v>
      </c>
      <c r="R1" s="132" t="s">
        <v>313</v>
      </c>
      <c r="S1" s="134" t="s">
        <v>278</v>
      </c>
      <c r="T1" s="134" t="s">
        <v>279</v>
      </c>
      <c r="U1" s="134" t="s">
        <v>317</v>
      </c>
      <c r="V1" s="134" t="s">
        <v>280</v>
      </c>
      <c r="W1" s="134" t="s">
        <v>281</v>
      </c>
      <c r="X1" s="134" t="s">
        <v>314</v>
      </c>
      <c r="Y1" s="134" t="s">
        <v>282</v>
      </c>
      <c r="Z1" s="134" t="s">
        <v>283</v>
      </c>
      <c r="AA1" s="134" t="s">
        <v>284</v>
      </c>
      <c r="AB1" s="135" t="s">
        <v>285</v>
      </c>
      <c r="AC1" s="135" t="s">
        <v>286</v>
      </c>
      <c r="AD1" s="135" t="s">
        <v>318</v>
      </c>
      <c r="AE1" s="135" t="s">
        <v>287</v>
      </c>
      <c r="AF1" s="135" t="s">
        <v>288</v>
      </c>
      <c r="AG1" s="135" t="s">
        <v>322</v>
      </c>
      <c r="AH1" s="135" t="s">
        <v>289</v>
      </c>
      <c r="AI1" s="135" t="s">
        <v>290</v>
      </c>
      <c r="AJ1" s="135" t="s">
        <v>291</v>
      </c>
      <c r="AK1" s="133" t="s">
        <v>292</v>
      </c>
      <c r="AL1" s="133" t="s">
        <v>293</v>
      </c>
      <c r="AM1" s="133" t="s">
        <v>319</v>
      </c>
      <c r="AN1" s="133" t="s">
        <v>294</v>
      </c>
      <c r="AO1" s="133" t="s">
        <v>295</v>
      </c>
      <c r="AP1" s="133" t="s">
        <v>320</v>
      </c>
      <c r="AQ1" s="133" t="s">
        <v>296</v>
      </c>
      <c r="AR1" s="133" t="s">
        <v>297</v>
      </c>
      <c r="AS1" s="133" t="s">
        <v>298</v>
      </c>
      <c r="AT1" s="136" t="s">
        <v>321</v>
      </c>
      <c r="AU1" s="136" t="s">
        <v>265</v>
      </c>
      <c r="AV1" s="137" t="s">
        <v>266</v>
      </c>
      <c r="AW1" s="36" t="s">
        <v>22</v>
      </c>
      <c r="AX1" s="36" t="s">
        <v>23</v>
      </c>
      <c r="AY1" s="36" t="s">
        <v>24</v>
      </c>
      <c r="AZ1" s="36" t="s">
        <v>25</v>
      </c>
      <c r="BA1" s="36" t="s">
        <v>26</v>
      </c>
      <c r="BB1" s="36" t="s">
        <v>27</v>
      </c>
      <c r="BC1" s="36" t="s">
        <v>28</v>
      </c>
      <c r="BD1" s="36" t="s">
        <v>29</v>
      </c>
      <c r="BE1" s="36" t="s">
        <v>30</v>
      </c>
      <c r="BF1" s="36" t="s">
        <v>31</v>
      </c>
      <c r="BG1" s="36" t="s">
        <v>32</v>
      </c>
      <c r="BH1" s="36" t="s">
        <v>33</v>
      </c>
      <c r="BI1" s="130" t="s">
        <v>302</v>
      </c>
      <c r="BJ1" s="130" t="s">
        <v>300</v>
      </c>
      <c r="BK1" s="34" t="s">
        <v>301</v>
      </c>
    </row>
    <row r="2" spans="1:63" x14ac:dyDescent="0.25">
      <c r="B2">
        <f>Formulár!B13</f>
        <v>0</v>
      </c>
      <c r="C2">
        <f>Formulár!B20</f>
        <v>0</v>
      </c>
      <c r="D2">
        <f>Formulár!F20</f>
        <v>0</v>
      </c>
      <c r="E2">
        <f>Formulár!D20</f>
        <v>0</v>
      </c>
      <c r="F2">
        <f>Formulár!B23</f>
        <v>0</v>
      </c>
      <c r="G2">
        <f>Formulár!D23</f>
        <v>0</v>
      </c>
      <c r="H2">
        <f>Formulár!B6</f>
        <v>0</v>
      </c>
      <c r="I2">
        <f>Formulár!D6</f>
        <v>0</v>
      </c>
      <c r="J2">
        <f>Formulár!F6</f>
        <v>0</v>
      </c>
      <c r="K2">
        <f>Formulár!B37</f>
        <v>0</v>
      </c>
      <c r="L2" s="147">
        <f>Formulár!E16</f>
        <v>0</v>
      </c>
      <c r="M2">
        <f>Formulár!B43</f>
        <v>0</v>
      </c>
      <c r="N2">
        <f>Formulár!B46</f>
        <v>0</v>
      </c>
      <c r="O2">
        <f>Formulár!B49</f>
        <v>0</v>
      </c>
      <c r="P2">
        <f>Formulár!B52</f>
        <v>0</v>
      </c>
      <c r="Q2" s="75">
        <f>Formulár!B55</f>
        <v>0</v>
      </c>
      <c r="R2" t="str">
        <f>Formulár!B58</f>
        <v>Vyplňte formulár kompletne</v>
      </c>
      <c r="S2">
        <f>Formulár!B64</f>
        <v>0</v>
      </c>
      <c r="T2">
        <f>Formulár!B67</f>
        <v>0</v>
      </c>
      <c r="U2">
        <f>Formulár!B70</f>
        <v>0</v>
      </c>
      <c r="V2" s="44">
        <f>Formulár!B73</f>
        <v>0</v>
      </c>
      <c r="W2" s="44">
        <f>Formulár!B76</f>
        <v>0</v>
      </c>
      <c r="X2" s="44">
        <f>Formulár!B79</f>
        <v>0</v>
      </c>
      <c r="Y2" s="44" t="str">
        <f>Formulár!B82</f>
        <v>Vyplňte formulár kompletne</v>
      </c>
      <c r="Z2" s="44" t="str">
        <f>Formulár!B85</f>
        <v>Vyplňte formulár kompletne</v>
      </c>
      <c r="AA2" s="44" t="str">
        <f>Formulár!B88</f>
        <v>Vyplňte formulár kompletne</v>
      </c>
      <c r="AB2" s="44">
        <f>Formulár!B91</f>
        <v>0</v>
      </c>
      <c r="AC2" s="44">
        <f>Formulár!B94</f>
        <v>0</v>
      </c>
      <c r="AD2" s="44">
        <f>Formulár!B97</f>
        <v>0</v>
      </c>
      <c r="AE2" s="44">
        <f>Formulár!B100</f>
        <v>0</v>
      </c>
      <c r="AF2" s="44">
        <f>Formulár!B103</f>
        <v>0</v>
      </c>
      <c r="AG2" s="44">
        <f>Formulár!B106</f>
        <v>0</v>
      </c>
      <c r="AH2" s="44" t="str">
        <f>Formulár!B109</f>
        <v>0</v>
      </c>
      <c r="AI2" s="44" t="str">
        <f>Formulár!B112</f>
        <v>0</v>
      </c>
      <c r="AJ2" s="44" t="str">
        <f>Formulár!B115</f>
        <v>0</v>
      </c>
      <c r="AK2" s="44">
        <f>Formulár!B118</f>
        <v>0</v>
      </c>
      <c r="AL2" s="44">
        <f>Formulár!B121</f>
        <v>0</v>
      </c>
      <c r="AM2" s="44">
        <f>Formulár!B124</f>
        <v>0</v>
      </c>
      <c r="AN2" s="44">
        <f>Formulár!B127</f>
        <v>0</v>
      </c>
      <c r="AO2" s="44">
        <f>Formulár!B130</f>
        <v>0</v>
      </c>
      <c r="AP2" s="44">
        <f>Formulár!B133</f>
        <v>0</v>
      </c>
      <c r="AQ2" s="44" t="str">
        <f>Formulár!B136</f>
        <v>0</v>
      </c>
      <c r="AR2" s="44" t="str">
        <f>Formulár!B139</f>
        <v>0</v>
      </c>
      <c r="AS2" s="44" t="str">
        <f>Formulár!B142</f>
        <v>0</v>
      </c>
      <c r="AT2" s="44" t="str">
        <f>Formulár!B148</f>
        <v>Vyplňte formulár kompletne</v>
      </c>
      <c r="AU2" s="44">
        <f>Formulár!B151</f>
        <v>0</v>
      </c>
      <c r="AV2" s="121">
        <f>Formulár!B154</f>
        <v>0</v>
      </c>
      <c r="AW2" s="44" t="str">
        <f>Formulár!B161</f>
        <v>chybné dáta</v>
      </c>
      <c r="AX2" s="44" t="str">
        <f>Formulár!C161</f>
        <v>chybné dáta</v>
      </c>
      <c r="AY2" s="44" t="str">
        <f>Formulár!D161</f>
        <v>chybné dáta</v>
      </c>
      <c r="AZ2" s="44" t="str">
        <f>Formulár!E161</f>
        <v>chybné dáta</v>
      </c>
      <c r="BA2" s="44" t="str">
        <f>Formulár!F161</f>
        <v>chybné dáta</v>
      </c>
      <c r="BB2" s="44" t="str">
        <f>Formulár!G161</f>
        <v>chybné dáta</v>
      </c>
      <c r="BC2" s="44" t="str">
        <f>Formulár!B163</f>
        <v>chybné dáta</v>
      </c>
      <c r="BD2" s="44" t="str">
        <f>Formulár!C163</f>
        <v>chybné dáta</v>
      </c>
      <c r="BE2" s="44" t="str">
        <f>Formulár!D163</f>
        <v>chybné dáta</v>
      </c>
      <c r="BF2" s="44" t="str">
        <f>Formulár!E163</f>
        <v>chybné dáta</v>
      </c>
      <c r="BG2" s="44" t="str">
        <f>Formulár!F163</f>
        <v>chybné dáta</v>
      </c>
      <c r="BH2" s="44" t="str">
        <f>Formulár!G163</f>
        <v>chybné dáta</v>
      </c>
      <c r="BI2">
        <f>Formulár!B32</f>
        <v>0</v>
      </c>
      <c r="BJ2">
        <f>Formulár!B27</f>
        <v>0</v>
      </c>
      <c r="BK2">
        <f>Formulár!D27</f>
        <v>0</v>
      </c>
    </row>
    <row r="12" spans="1:63" x14ac:dyDescent="0.25">
      <c r="BJ12" s="13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239"/>
  <sheetViews>
    <sheetView zoomScaleNormal="100" workbookViewId="0">
      <selection activeCell="K158" sqref="K158"/>
    </sheetView>
  </sheetViews>
  <sheetFormatPr defaultColWidth="8.85546875" defaultRowHeight="15" x14ac:dyDescent="0.25"/>
  <cols>
    <col min="2" max="4" width="17.42578125" customWidth="1"/>
    <col min="5" max="5" width="18.42578125" customWidth="1"/>
    <col min="6" max="6" width="17.42578125" customWidth="1"/>
    <col min="7" max="7" width="18.42578125" customWidth="1"/>
    <col min="8" max="8" width="17.5703125" bestFit="1" customWidth="1"/>
    <col min="10" max="10" width="10" bestFit="1" customWidth="1"/>
    <col min="11" max="11" width="10.42578125" bestFit="1" customWidth="1"/>
    <col min="12" max="12" width="9.42578125" bestFit="1" customWidth="1"/>
    <col min="13" max="13" width="123.85546875" customWidth="1"/>
    <col min="18" max="18" width="15" bestFit="1" customWidth="1"/>
  </cols>
  <sheetData>
    <row r="1" spans="1:10" ht="44.45" customHeight="1" thickBot="1" x14ac:dyDescent="0.3">
      <c r="B1" s="165" t="s">
        <v>173</v>
      </c>
      <c r="C1" s="166"/>
      <c r="D1" s="166"/>
      <c r="E1" s="166"/>
      <c r="F1" s="167"/>
      <c r="J1" s="8" t="s">
        <v>14</v>
      </c>
    </row>
    <row r="2" spans="1:10" ht="24.95" customHeight="1" x14ac:dyDescent="0.25"/>
    <row r="3" spans="1:10" ht="18.75" x14ac:dyDescent="0.3">
      <c r="A3" s="11" t="s">
        <v>13</v>
      </c>
      <c r="B3" s="11"/>
      <c r="C3" s="11"/>
    </row>
    <row r="4" spans="1:10" x14ac:dyDescent="0.25">
      <c r="B4" s="1"/>
    </row>
    <row r="5" spans="1:10" ht="15.75" thickBot="1" x14ac:dyDescent="0.3">
      <c r="B5" s="2" t="s">
        <v>0</v>
      </c>
      <c r="D5" t="s">
        <v>16</v>
      </c>
      <c r="F5" t="s">
        <v>20</v>
      </c>
    </row>
    <row r="6" spans="1:10" ht="15" customHeight="1" thickBot="1" x14ac:dyDescent="0.3">
      <c r="B6" s="37">
        <v>36525782</v>
      </c>
      <c r="D6" s="37">
        <v>2020158789</v>
      </c>
      <c r="F6" s="37" t="s">
        <v>152</v>
      </c>
      <c r="J6" s="164"/>
    </row>
    <row r="7" spans="1:10" ht="15" customHeight="1" x14ac:dyDescent="0.25">
      <c r="J7" s="164"/>
    </row>
    <row r="8" spans="1:10" ht="15" customHeight="1" thickBot="1" x14ac:dyDescent="0.3">
      <c r="B8" t="s">
        <v>12</v>
      </c>
      <c r="J8" s="164"/>
    </row>
    <row r="9" spans="1:10" ht="15" customHeight="1" thickBot="1" x14ac:dyDescent="0.3">
      <c r="B9" s="157" t="s">
        <v>153</v>
      </c>
      <c r="C9" s="176"/>
      <c r="D9" s="176"/>
      <c r="E9" s="176"/>
      <c r="F9" s="158"/>
      <c r="J9" s="164"/>
    </row>
    <row r="10" spans="1:10" ht="15" customHeight="1" x14ac:dyDescent="0.25">
      <c r="J10" s="164"/>
    </row>
    <row r="11" spans="1:10" ht="15.75" thickBot="1" x14ac:dyDescent="0.3">
      <c r="B11" t="s">
        <v>1</v>
      </c>
      <c r="E11" t="s">
        <v>171</v>
      </c>
      <c r="J11" s="164"/>
    </row>
    <row r="12" spans="1:10" ht="15.75" thickBot="1" x14ac:dyDescent="0.3">
      <c r="B12" s="157" t="s">
        <v>154</v>
      </c>
      <c r="C12" s="158"/>
      <c r="D12" s="51"/>
      <c r="E12" s="159"/>
      <c r="F12" s="160"/>
      <c r="J12" s="164"/>
    </row>
    <row r="13" spans="1:10" ht="15" customHeight="1" x14ac:dyDescent="0.25">
      <c r="J13" s="164"/>
    </row>
    <row r="14" spans="1:10" x14ac:dyDescent="0.25">
      <c r="B14" t="s">
        <v>2</v>
      </c>
      <c r="J14" s="164"/>
    </row>
    <row r="15" spans="1:10" ht="15.75" thickBot="1" x14ac:dyDescent="0.3">
      <c r="B15" t="s">
        <v>3</v>
      </c>
      <c r="D15" t="s">
        <v>4</v>
      </c>
      <c r="F15" t="s">
        <v>5</v>
      </c>
      <c r="J15" s="164"/>
    </row>
    <row r="16" spans="1:10" ht="15.75" thickBot="1" x14ac:dyDescent="0.3">
      <c r="B16" s="37" t="s">
        <v>155</v>
      </c>
      <c r="D16" s="37">
        <v>55</v>
      </c>
      <c r="F16" s="37"/>
      <c r="J16" s="164"/>
    </row>
    <row r="17" spans="2:10" ht="7.5" customHeight="1" x14ac:dyDescent="0.25">
      <c r="J17" s="164"/>
    </row>
    <row r="18" spans="2:10" ht="15.75" thickBot="1" x14ac:dyDescent="0.3">
      <c r="B18" t="s">
        <v>6</v>
      </c>
      <c r="D18" t="s">
        <v>7</v>
      </c>
      <c r="F18" t="s">
        <v>8</v>
      </c>
      <c r="J18" s="164"/>
    </row>
    <row r="19" spans="2:10" ht="15.75" thickBot="1" x14ac:dyDescent="0.3">
      <c r="B19" s="37" t="s">
        <v>156</v>
      </c>
      <c r="D19" s="38" t="s">
        <v>157</v>
      </c>
      <c r="F19" s="37" t="s">
        <v>59</v>
      </c>
      <c r="J19" s="164"/>
    </row>
    <row r="20" spans="2:10" ht="15" customHeight="1" x14ac:dyDescent="0.25">
      <c r="J20" s="164"/>
    </row>
    <row r="21" spans="2:10" x14ac:dyDescent="0.25">
      <c r="B21" t="s">
        <v>15</v>
      </c>
      <c r="J21" s="164"/>
    </row>
    <row r="22" spans="2:10" ht="15.75" thickBot="1" x14ac:dyDescent="0.3">
      <c r="B22" t="s">
        <v>9</v>
      </c>
      <c r="D22" t="s">
        <v>10</v>
      </c>
      <c r="J22" s="164"/>
    </row>
    <row r="23" spans="2:10" ht="15.75" thickBot="1" x14ac:dyDescent="0.3">
      <c r="B23" s="37" t="s">
        <v>158</v>
      </c>
      <c r="D23" s="37" t="s">
        <v>159</v>
      </c>
      <c r="J23" s="164"/>
    </row>
    <row r="24" spans="2:10" x14ac:dyDescent="0.25">
      <c r="B24" s="6" t="s">
        <v>18</v>
      </c>
      <c r="J24" s="4"/>
    </row>
    <row r="25" spans="2:10" x14ac:dyDescent="0.25">
      <c r="B25" s="6"/>
      <c r="F25" s="3"/>
      <c r="J25" s="4"/>
    </row>
    <row r="26" spans="2:10" x14ac:dyDescent="0.25">
      <c r="B26" s="6"/>
      <c r="F26" s="3"/>
      <c r="J26" s="4"/>
    </row>
    <row r="27" spans="2:10" ht="15.75" thickBot="1" x14ac:dyDescent="0.3">
      <c r="B27" s="7" t="s">
        <v>19</v>
      </c>
      <c r="F27" s="3"/>
      <c r="J27" s="4"/>
    </row>
    <row r="28" spans="2:10" ht="15.75" thickBot="1" x14ac:dyDescent="0.3">
      <c r="B28" s="161" t="s">
        <v>160</v>
      </c>
      <c r="C28" s="162"/>
      <c r="F28" s="3"/>
      <c r="J28" s="4"/>
    </row>
    <row r="29" spans="2:10" x14ac:dyDescent="0.25">
      <c r="F29" s="3"/>
      <c r="J29" s="4"/>
    </row>
    <row r="30" spans="2:10" ht="15" customHeight="1" x14ac:dyDescent="0.25">
      <c r="F30" s="3"/>
      <c r="J30" s="5"/>
    </row>
    <row r="31" spans="2:10" ht="15" customHeight="1" x14ac:dyDescent="0.25"/>
    <row r="32" spans="2:10" ht="15.75" thickBot="1" x14ac:dyDescent="0.3">
      <c r="B32" t="s">
        <v>11</v>
      </c>
      <c r="J32" s="191"/>
    </row>
    <row r="33" spans="1:10" ht="15.75" thickBot="1" x14ac:dyDescent="0.3">
      <c r="B33" s="157" t="s">
        <v>161</v>
      </c>
      <c r="C33" s="176"/>
      <c r="D33" s="176"/>
      <c r="E33" s="176"/>
      <c r="F33" s="158"/>
      <c r="J33" s="191"/>
    </row>
    <row r="34" spans="1:10" x14ac:dyDescent="0.25">
      <c r="J34" s="9"/>
    </row>
    <row r="35" spans="1:10" x14ac:dyDescent="0.25">
      <c r="J35" s="9"/>
    </row>
    <row r="36" spans="1:10" ht="18.75" x14ac:dyDescent="0.3">
      <c r="A36" s="11" t="s">
        <v>177</v>
      </c>
      <c r="B36" s="11"/>
      <c r="C36" s="11"/>
      <c r="D36" s="11"/>
      <c r="E36" s="54"/>
      <c r="F36" s="12"/>
      <c r="G36" s="12"/>
      <c r="H36" s="12"/>
      <c r="J36" s="9"/>
    </row>
    <row r="37" spans="1:10" x14ac:dyDescent="0.25">
      <c r="J37" s="9"/>
    </row>
    <row r="38" spans="1:10" ht="15.75" thickBot="1" x14ac:dyDescent="0.3">
      <c r="B38" s="1" t="s">
        <v>21</v>
      </c>
      <c r="J38" s="9"/>
    </row>
    <row r="39" spans="1:10" ht="15.75" thickBot="1" x14ac:dyDescent="0.3">
      <c r="B39" s="177" t="s">
        <v>163</v>
      </c>
      <c r="C39" s="178"/>
      <c r="D39" s="178"/>
      <c r="E39" s="178"/>
      <c r="F39" s="179"/>
      <c r="J39" s="4"/>
    </row>
    <row r="40" spans="1:10" x14ac:dyDescent="0.25">
      <c r="J40" s="9"/>
    </row>
    <row r="41" spans="1:10" ht="15.75" thickBot="1" x14ac:dyDescent="0.3">
      <c r="B41" s="15" t="s">
        <v>180</v>
      </c>
      <c r="C41" s="16"/>
      <c r="D41" s="16"/>
      <c r="E41" s="16"/>
      <c r="F41" s="16"/>
      <c r="J41" s="9"/>
    </row>
    <row r="42" spans="1:10" ht="15.75" thickBot="1" x14ac:dyDescent="0.3">
      <c r="B42" s="154">
        <v>12792.1</v>
      </c>
      <c r="C42" s="155"/>
      <c r="D42" s="155"/>
      <c r="E42" s="155"/>
      <c r="F42" s="156"/>
      <c r="J42" s="4"/>
    </row>
    <row r="43" spans="1:10" x14ac:dyDescent="0.25">
      <c r="B43" s="16"/>
      <c r="C43" s="16"/>
      <c r="D43" s="16"/>
      <c r="E43" s="16"/>
      <c r="F43" s="16"/>
      <c r="J43" s="9"/>
    </row>
    <row r="44" spans="1:10" ht="15.75" thickBot="1" x14ac:dyDescent="0.3">
      <c r="B44" s="15" t="s">
        <v>181</v>
      </c>
      <c r="C44" s="16"/>
      <c r="D44" s="16"/>
      <c r="E44" s="16"/>
      <c r="F44" s="16"/>
      <c r="J44" s="9"/>
    </row>
    <row r="45" spans="1:10" ht="15.75" thickBot="1" x14ac:dyDescent="0.3">
      <c r="B45" s="180">
        <v>7.3200000000000001E-2</v>
      </c>
      <c r="C45" s="181"/>
      <c r="D45" s="181"/>
      <c r="E45" s="181"/>
      <c r="F45" s="182"/>
      <c r="J45" s="4"/>
    </row>
    <row r="46" spans="1:10" x14ac:dyDescent="0.25">
      <c r="B46" s="16"/>
      <c r="C46" s="16"/>
      <c r="D46" s="16"/>
      <c r="E46" s="16"/>
      <c r="F46" s="16"/>
      <c r="J46" s="9"/>
    </row>
    <row r="47" spans="1:10" ht="15.75" thickBot="1" x14ac:dyDescent="0.3">
      <c r="B47" s="15" t="s">
        <v>182</v>
      </c>
      <c r="C47" s="16"/>
      <c r="D47" s="16"/>
      <c r="E47" s="16"/>
      <c r="F47" s="16"/>
      <c r="J47" s="9"/>
    </row>
    <row r="48" spans="1:10" ht="15.75" thickBot="1" x14ac:dyDescent="0.3">
      <c r="B48" s="180">
        <v>212.34540000000001</v>
      </c>
      <c r="C48" s="181"/>
      <c r="D48" s="181"/>
      <c r="E48" s="181"/>
      <c r="F48" s="182"/>
      <c r="J48" s="4"/>
    </row>
    <row r="49" spans="1:17" x14ac:dyDescent="0.25">
      <c r="B49" s="16"/>
      <c r="C49" s="16"/>
      <c r="D49" s="16"/>
      <c r="E49" s="16"/>
      <c r="F49" s="16"/>
      <c r="J49" s="9"/>
    </row>
    <row r="50" spans="1:17" ht="15.75" thickBot="1" x14ac:dyDescent="0.3">
      <c r="B50" s="15" t="s">
        <v>170</v>
      </c>
      <c r="C50" s="16"/>
      <c r="D50" s="16"/>
      <c r="E50" s="16"/>
      <c r="F50" s="16"/>
      <c r="J50" s="9"/>
    </row>
    <row r="51" spans="1:17" ht="15.75" thickBot="1" x14ac:dyDescent="0.3">
      <c r="B51" s="151">
        <v>64689000</v>
      </c>
      <c r="C51" s="152"/>
      <c r="D51" s="152"/>
      <c r="E51" s="152"/>
      <c r="F51" s="153"/>
      <c r="J51" s="4"/>
    </row>
    <row r="52" spans="1:17" x14ac:dyDescent="0.25">
      <c r="B52" s="16"/>
      <c r="C52" s="16"/>
      <c r="D52" s="16"/>
      <c r="E52" s="16"/>
      <c r="F52" s="16"/>
    </row>
    <row r="53" spans="1:17" ht="15.75" thickBot="1" x14ac:dyDescent="0.3">
      <c r="B53" s="15" t="s">
        <v>183</v>
      </c>
      <c r="C53" s="16"/>
      <c r="D53" s="16"/>
      <c r="E53" s="16"/>
      <c r="F53" s="16"/>
      <c r="H53" s="63"/>
      <c r="I53" s="63"/>
      <c r="J53" s="63"/>
      <c r="K53" s="63"/>
      <c r="L53" s="63"/>
      <c r="M53" s="63"/>
      <c r="N53" s="63"/>
      <c r="O53" s="63"/>
      <c r="P53" s="63"/>
      <c r="Q53" s="63"/>
    </row>
    <row r="54" spans="1:17" ht="15.75" thickBot="1" x14ac:dyDescent="0.3">
      <c r="B54" s="183">
        <f>(B45 + (B48*B42/B51))*1000*1.2</f>
        <v>138.228973544312</v>
      </c>
      <c r="C54" s="184"/>
      <c r="D54" s="184"/>
      <c r="E54" s="184"/>
      <c r="F54" s="185"/>
      <c r="G54" s="14"/>
    </row>
    <row r="55" spans="1:17" x14ac:dyDescent="0.25">
      <c r="B55" s="57"/>
      <c r="C55" s="57"/>
      <c r="D55" s="57"/>
      <c r="E55" s="57"/>
      <c r="F55" s="57"/>
      <c r="G55" s="14"/>
      <c r="J55" s="9"/>
    </row>
    <row r="56" spans="1:17" x14ac:dyDescent="0.25">
      <c r="B56" s="16"/>
      <c r="C56" s="16"/>
      <c r="D56" s="16"/>
      <c r="E56" s="16"/>
      <c r="F56" s="16"/>
      <c r="J56" s="9"/>
    </row>
    <row r="57" spans="1:17" ht="18.75" x14ac:dyDescent="0.3">
      <c r="A57" s="11" t="s">
        <v>176</v>
      </c>
      <c r="B57" s="17"/>
      <c r="C57" s="17"/>
      <c r="D57" s="17"/>
      <c r="E57" s="18"/>
      <c r="F57" s="19"/>
      <c r="J57" s="9"/>
    </row>
    <row r="58" spans="1:17" x14ac:dyDescent="0.25">
      <c r="B58" s="16"/>
      <c r="C58" s="16"/>
      <c r="D58" s="16"/>
      <c r="E58" s="16"/>
      <c r="F58" s="16"/>
      <c r="J58" s="9"/>
    </row>
    <row r="59" spans="1:17" ht="16.5" thickBot="1" x14ac:dyDescent="0.3">
      <c r="A59" s="52"/>
      <c r="B59" s="48" t="s">
        <v>21</v>
      </c>
      <c r="C59" s="49"/>
      <c r="D59" s="49"/>
      <c r="E59" s="48" t="s">
        <v>168</v>
      </c>
      <c r="F59" s="48" t="s">
        <v>169</v>
      </c>
      <c r="J59" s="9"/>
    </row>
    <row r="60" spans="1:17" ht="15.75" thickBot="1" x14ac:dyDescent="0.3">
      <c r="B60" s="172" t="s">
        <v>162</v>
      </c>
      <c r="C60" s="173"/>
      <c r="D60" s="45"/>
      <c r="E60" s="58">
        <v>45292</v>
      </c>
      <c r="F60" s="59">
        <v>45657</v>
      </c>
      <c r="J60" s="4"/>
    </row>
    <row r="61" spans="1:17" x14ac:dyDescent="0.25">
      <c r="B61" s="16"/>
      <c r="C61" s="16"/>
      <c r="D61" s="16"/>
      <c r="E61" s="16"/>
      <c r="F61" s="16"/>
      <c r="J61" s="9"/>
    </row>
    <row r="62" spans="1:17" ht="15.75" thickBot="1" x14ac:dyDescent="0.3">
      <c r="B62" s="15" t="s">
        <v>180</v>
      </c>
      <c r="C62" s="16"/>
      <c r="D62" s="16"/>
      <c r="E62" s="16"/>
      <c r="F62" s="16"/>
      <c r="J62" s="9"/>
    </row>
    <row r="63" spans="1:17" ht="15.75" thickBot="1" x14ac:dyDescent="0.3">
      <c r="B63" s="154">
        <v>12018.39</v>
      </c>
      <c r="C63" s="155"/>
      <c r="D63" s="155"/>
      <c r="E63" s="155"/>
      <c r="F63" s="156"/>
      <c r="J63" s="4"/>
    </row>
    <row r="64" spans="1:17" ht="7.5" customHeight="1" x14ac:dyDescent="0.25">
      <c r="B64" s="16"/>
      <c r="C64" s="16"/>
      <c r="D64" s="16"/>
      <c r="E64" s="16"/>
      <c r="F64" s="16"/>
      <c r="J64" s="9"/>
    </row>
    <row r="65" spans="2:10" ht="15.75" thickBot="1" x14ac:dyDescent="0.3">
      <c r="B65" s="15" t="s">
        <v>181</v>
      </c>
      <c r="C65" s="16"/>
      <c r="D65" s="16"/>
      <c r="E65" s="16"/>
      <c r="F65" s="16"/>
      <c r="J65" s="9"/>
    </row>
    <row r="66" spans="2:10" ht="21" customHeight="1" thickBot="1" x14ac:dyDescent="0.3">
      <c r="B66" s="154">
        <v>0.12559999999999999</v>
      </c>
      <c r="C66" s="155"/>
      <c r="D66" s="155"/>
      <c r="E66" s="155"/>
      <c r="F66" s="156"/>
      <c r="J66" s="4"/>
    </row>
    <row r="67" spans="2:10" ht="16.5" customHeight="1" x14ac:dyDescent="0.25">
      <c r="B67" s="16"/>
      <c r="C67" s="16"/>
      <c r="D67" s="16"/>
      <c r="E67" s="16"/>
      <c r="F67" s="16"/>
      <c r="J67" s="9"/>
    </row>
    <row r="68" spans="2:10" ht="15.75" thickBot="1" x14ac:dyDescent="0.3">
      <c r="B68" s="15" t="s">
        <v>182</v>
      </c>
      <c r="C68" s="16"/>
      <c r="D68" s="16"/>
      <c r="E68" s="16"/>
      <c r="F68" s="16"/>
      <c r="J68" s="9"/>
    </row>
    <row r="69" spans="2:10" ht="15.75" thickBot="1" x14ac:dyDescent="0.3">
      <c r="B69" s="154">
        <v>244.70760000000001</v>
      </c>
      <c r="C69" s="155"/>
      <c r="D69" s="155"/>
      <c r="E69" s="155"/>
      <c r="F69" s="156"/>
      <c r="J69" s="4"/>
    </row>
    <row r="70" spans="2:10" ht="8.25" customHeight="1" x14ac:dyDescent="0.25">
      <c r="B70" s="16"/>
      <c r="C70" s="16"/>
      <c r="D70" s="16"/>
      <c r="E70" s="16"/>
      <c r="F70" s="16"/>
      <c r="J70" s="9"/>
    </row>
    <row r="71" spans="2:10" ht="15.75" thickBot="1" x14ac:dyDescent="0.3">
      <c r="B71" s="15" t="s">
        <v>172</v>
      </c>
      <c r="C71" s="16"/>
      <c r="D71" s="16"/>
      <c r="E71" s="16"/>
      <c r="F71" s="16"/>
      <c r="J71" s="9"/>
    </row>
    <row r="72" spans="2:10" ht="15.75" thickBot="1" x14ac:dyDescent="0.3">
      <c r="B72" s="151">
        <v>63981000</v>
      </c>
      <c r="C72" s="152"/>
      <c r="D72" s="152"/>
      <c r="E72" s="152"/>
      <c r="F72" s="153"/>
      <c r="J72" s="4"/>
    </row>
    <row r="73" spans="2:10" ht="7.5" customHeight="1" x14ac:dyDescent="0.25">
      <c r="B73" s="47"/>
      <c r="C73" s="47"/>
      <c r="D73" s="47"/>
      <c r="E73" s="47"/>
      <c r="F73" s="47"/>
      <c r="J73" s="4"/>
    </row>
    <row r="74" spans="2:10" ht="15.75" thickBot="1" x14ac:dyDescent="0.3">
      <c r="B74" s="15" t="s">
        <v>184</v>
      </c>
      <c r="C74" s="16"/>
      <c r="D74" s="16"/>
      <c r="E74" s="16"/>
      <c r="F74" s="16"/>
      <c r="J74" s="4"/>
    </row>
    <row r="75" spans="2:10" ht="15.75" customHeight="1" thickBot="1" x14ac:dyDescent="0.3">
      <c r="B75" s="154">
        <v>57989520</v>
      </c>
      <c r="C75" s="155"/>
      <c r="D75" s="155"/>
      <c r="E75" s="155"/>
      <c r="F75" s="156"/>
      <c r="J75" s="9"/>
    </row>
    <row r="76" spans="2:10" ht="9.75" customHeight="1" x14ac:dyDescent="0.25">
      <c r="B76" s="50"/>
      <c r="C76" s="50"/>
      <c r="D76" s="50"/>
      <c r="E76" s="50"/>
      <c r="F76" s="50"/>
      <c r="J76" s="9"/>
    </row>
    <row r="77" spans="2:10" ht="15.75" customHeight="1" thickBot="1" x14ac:dyDescent="0.3">
      <c r="B77" s="15" t="s">
        <v>185</v>
      </c>
      <c r="C77" s="16"/>
      <c r="D77" s="16"/>
      <c r="E77" s="16"/>
      <c r="F77" s="16"/>
      <c r="J77" s="191"/>
    </row>
    <row r="78" spans="2:10" ht="15.75" customHeight="1" thickBot="1" x14ac:dyDescent="0.3">
      <c r="B78" s="163">
        <f xml:space="preserve"> (B66 + (B69*B63/B72))*1000*1.2</f>
        <v>205.87996385359403</v>
      </c>
      <c r="C78" s="149"/>
      <c r="D78" s="149"/>
      <c r="E78" s="149"/>
      <c r="F78" s="150"/>
      <c r="G78" s="14"/>
      <c r="J78" s="191"/>
    </row>
    <row r="79" spans="2:10" ht="7.5" customHeight="1" x14ac:dyDescent="0.25">
      <c r="B79" s="46"/>
      <c r="C79" s="46"/>
      <c r="D79" s="46"/>
      <c r="E79" s="46"/>
      <c r="F79" s="46"/>
      <c r="G79" s="14"/>
      <c r="J79" s="9"/>
    </row>
    <row r="80" spans="2:10" ht="15.75" customHeight="1" thickBot="1" x14ac:dyDescent="0.3">
      <c r="B80" s="15" t="s">
        <v>186</v>
      </c>
      <c r="C80" s="15"/>
      <c r="D80" s="15"/>
      <c r="E80" s="15"/>
      <c r="F80" s="15"/>
      <c r="G80" s="14"/>
      <c r="J80" s="9"/>
    </row>
    <row r="81" spans="1:10" ht="16.5" customHeight="1" thickBot="1" x14ac:dyDescent="0.3">
      <c r="A81" s="15"/>
      <c r="B81" s="163">
        <f>B144/1.2/1000-(B69*B63)/B72</f>
        <v>8.5890841408931634E-2</v>
      </c>
      <c r="C81" s="149"/>
      <c r="D81" s="149"/>
      <c r="E81" s="149"/>
      <c r="F81" s="150"/>
      <c r="G81" s="14"/>
      <c r="J81" s="9"/>
    </row>
    <row r="82" spans="1:10" ht="8.25" customHeight="1" x14ac:dyDescent="0.25">
      <c r="A82" s="15"/>
      <c r="B82" s="15"/>
      <c r="C82" s="46"/>
      <c r="D82" s="46"/>
      <c r="E82" s="46"/>
      <c r="F82" s="46"/>
      <c r="G82" s="14"/>
      <c r="J82" s="9"/>
    </row>
    <row r="83" spans="1:10" ht="16.5" customHeight="1" thickBot="1" x14ac:dyDescent="0.3">
      <c r="A83" s="15"/>
      <c r="B83" s="15" t="s">
        <v>179</v>
      </c>
      <c r="C83" s="46"/>
      <c r="D83" s="46"/>
      <c r="E83" s="46"/>
      <c r="F83" s="46"/>
      <c r="G83" s="14"/>
      <c r="J83" s="9"/>
    </row>
    <row r="84" spans="1:10" ht="16.5" customHeight="1" thickBot="1" x14ac:dyDescent="0.3">
      <c r="B84" s="62">
        <f>(MIN(B78-B144)*B75/1000 ) * SUMIFS(Hárok2!$C$2:$C$13, Hárok2!$B$2:$B$13, "&gt;=" &amp; MONTH(DATEVALUE(TEXT(E60, "mmmm") &amp; " 1")), Hárok2!$B$2:$B$13, "&lt;=" &amp; MONTH(DATEVALUE(TEXT(F60, "mmmm") &amp; " 1")))</f>
        <v>2763258.0555599169</v>
      </c>
      <c r="C84" s="60"/>
      <c r="D84" s="60"/>
      <c r="E84" s="60"/>
      <c r="F84" s="61"/>
      <c r="G84" s="78"/>
      <c r="H84" s="64"/>
      <c r="J84" s="9"/>
    </row>
    <row r="85" spans="1:10" ht="27" customHeight="1" x14ac:dyDescent="0.25">
      <c r="B85" s="46"/>
      <c r="C85" s="46"/>
      <c r="D85" s="46"/>
      <c r="E85" s="46"/>
      <c r="F85" s="46"/>
      <c r="G85" s="63"/>
      <c r="J85" s="9"/>
    </row>
    <row r="86" spans="1:10" ht="15.75" customHeight="1" thickBot="1" x14ac:dyDescent="0.3">
      <c r="A86" s="52"/>
      <c r="B86" s="48" t="s">
        <v>21</v>
      </c>
      <c r="C86" s="49"/>
      <c r="D86" s="49"/>
      <c r="E86" s="48" t="s">
        <v>168</v>
      </c>
      <c r="F86" s="48" t="s">
        <v>169</v>
      </c>
      <c r="G86" s="14"/>
      <c r="J86" s="9"/>
    </row>
    <row r="87" spans="1:10" ht="15.75" customHeight="1" thickBot="1" x14ac:dyDescent="0.3">
      <c r="B87" s="172"/>
      <c r="C87" s="173"/>
      <c r="D87" s="45"/>
      <c r="E87" s="58"/>
      <c r="F87" s="59"/>
      <c r="G87" s="14"/>
      <c r="J87" s="9"/>
    </row>
    <row r="88" spans="1:10" ht="9.75" customHeight="1" x14ac:dyDescent="0.25">
      <c r="B88" s="16"/>
      <c r="C88" s="16"/>
      <c r="D88" s="16"/>
      <c r="E88" s="16"/>
      <c r="F88" s="16"/>
      <c r="G88" s="14"/>
      <c r="J88" s="9"/>
    </row>
    <row r="89" spans="1:10" ht="15.75" customHeight="1" thickBot="1" x14ac:dyDescent="0.3">
      <c r="B89" s="15" t="s">
        <v>180</v>
      </c>
      <c r="C89" s="16"/>
      <c r="D89" s="16"/>
      <c r="E89" s="16"/>
      <c r="F89" s="16"/>
      <c r="G89" s="14"/>
      <c r="J89" s="9"/>
    </row>
    <row r="90" spans="1:10" ht="15.75" customHeight="1" thickBot="1" x14ac:dyDescent="0.3">
      <c r="B90" s="154"/>
      <c r="C90" s="155"/>
      <c r="D90" s="155"/>
      <c r="E90" s="155"/>
      <c r="F90" s="156"/>
      <c r="G90" s="14"/>
      <c r="J90" s="9"/>
    </row>
    <row r="91" spans="1:10" ht="10.5" customHeight="1" x14ac:dyDescent="0.25">
      <c r="B91" s="16"/>
      <c r="C91" s="16"/>
      <c r="D91" s="16"/>
      <c r="E91" s="16"/>
      <c r="F91" s="16"/>
      <c r="G91" s="14"/>
      <c r="J91" s="9"/>
    </row>
    <row r="92" spans="1:10" ht="15.75" customHeight="1" thickBot="1" x14ac:dyDescent="0.3">
      <c r="B92" s="15" t="s">
        <v>181</v>
      </c>
      <c r="C92" s="16"/>
      <c r="D92" s="16"/>
      <c r="E92" s="16"/>
      <c r="F92" s="16"/>
      <c r="G92" s="14"/>
      <c r="J92" s="9"/>
    </row>
    <row r="93" spans="1:10" ht="15.75" customHeight="1" thickBot="1" x14ac:dyDescent="0.3">
      <c r="B93" s="154"/>
      <c r="C93" s="155"/>
      <c r="D93" s="155"/>
      <c r="E93" s="155"/>
      <c r="F93" s="156"/>
      <c r="G93" s="14"/>
      <c r="J93" s="9"/>
    </row>
    <row r="94" spans="1:10" ht="9.75" customHeight="1" x14ac:dyDescent="0.25">
      <c r="B94" s="16"/>
      <c r="C94" s="16"/>
      <c r="D94" s="16"/>
      <c r="E94" s="16"/>
      <c r="F94" s="16"/>
      <c r="G94" s="14"/>
      <c r="J94" s="9"/>
    </row>
    <row r="95" spans="1:10" ht="15.75" customHeight="1" thickBot="1" x14ac:dyDescent="0.3">
      <c r="B95" s="15" t="s">
        <v>182</v>
      </c>
      <c r="C95" s="16"/>
      <c r="D95" s="16"/>
      <c r="E95" s="16"/>
      <c r="F95" s="16"/>
      <c r="G95" s="14"/>
      <c r="J95" s="9"/>
    </row>
    <row r="96" spans="1:10" ht="15.75" customHeight="1" thickBot="1" x14ac:dyDescent="0.3">
      <c r="B96" s="154"/>
      <c r="C96" s="155"/>
      <c r="D96" s="155"/>
      <c r="E96" s="155"/>
      <c r="F96" s="156"/>
      <c r="G96" s="14"/>
      <c r="J96" s="9"/>
    </row>
    <row r="97" spans="2:10" ht="9.75" customHeight="1" x14ac:dyDescent="0.25">
      <c r="B97" s="16"/>
      <c r="C97" s="16"/>
      <c r="D97" s="16"/>
      <c r="E97" s="16"/>
      <c r="F97" s="16"/>
      <c r="G97" s="14"/>
      <c r="J97" s="9"/>
    </row>
    <row r="98" spans="2:10" ht="15.75" customHeight="1" thickBot="1" x14ac:dyDescent="0.3">
      <c r="B98" s="15" t="s">
        <v>172</v>
      </c>
      <c r="C98" s="16"/>
      <c r="D98" s="16"/>
      <c r="E98" s="16"/>
      <c r="F98" s="16"/>
      <c r="G98" s="14"/>
      <c r="J98" s="9"/>
    </row>
    <row r="99" spans="2:10" ht="15.75" customHeight="1" thickBot="1" x14ac:dyDescent="0.3">
      <c r="B99" s="151"/>
      <c r="C99" s="152"/>
      <c r="D99" s="152"/>
      <c r="E99" s="152"/>
      <c r="F99" s="153"/>
      <c r="G99" s="14"/>
      <c r="J99" s="9"/>
    </row>
    <row r="100" spans="2:10" ht="9.75" customHeight="1" x14ac:dyDescent="0.25">
      <c r="B100" s="47"/>
      <c r="C100" s="47"/>
      <c r="D100" s="47"/>
      <c r="E100" s="47"/>
      <c r="F100" s="47"/>
      <c r="G100" s="14"/>
      <c r="J100" s="9"/>
    </row>
    <row r="101" spans="2:10" ht="15.75" customHeight="1" thickBot="1" x14ac:dyDescent="0.3">
      <c r="B101" s="15" t="s">
        <v>184</v>
      </c>
      <c r="C101" s="16"/>
      <c r="D101" s="16"/>
      <c r="E101" s="16"/>
      <c r="F101" s="16"/>
      <c r="G101" s="14"/>
      <c r="J101" s="9"/>
    </row>
    <row r="102" spans="2:10" ht="15.75" customHeight="1" thickBot="1" x14ac:dyDescent="0.3">
      <c r="B102" s="154"/>
      <c r="C102" s="155"/>
      <c r="D102" s="155"/>
      <c r="E102" s="155"/>
      <c r="F102" s="156"/>
      <c r="G102" s="14"/>
      <c r="J102" s="9"/>
    </row>
    <row r="103" spans="2:10" ht="11.25" customHeight="1" x14ac:dyDescent="0.25">
      <c r="B103" s="50"/>
      <c r="C103" s="50"/>
      <c r="D103" s="50"/>
      <c r="E103" s="50"/>
      <c r="F103" s="50"/>
      <c r="G103" s="14"/>
      <c r="J103" s="9"/>
    </row>
    <row r="104" spans="2:10" ht="15.75" customHeight="1" thickBot="1" x14ac:dyDescent="0.3">
      <c r="B104" s="15" t="s">
        <v>185</v>
      </c>
      <c r="C104" s="16"/>
      <c r="D104" s="16"/>
      <c r="E104" s="16"/>
      <c r="F104" s="16"/>
      <c r="G104" s="14"/>
      <c r="J104" s="9"/>
    </row>
    <row r="105" spans="2:10" ht="15.75" customHeight="1" thickBot="1" x14ac:dyDescent="0.3">
      <c r="B105" s="163">
        <f>IFERROR( (B93 + (B96*B90/B99))*1000*1.2,0)</f>
        <v>0</v>
      </c>
      <c r="C105" s="149"/>
      <c r="D105" s="149"/>
      <c r="E105" s="149"/>
      <c r="F105" s="150"/>
      <c r="G105" s="14"/>
      <c r="J105" s="9"/>
    </row>
    <row r="106" spans="2:10" ht="9" customHeight="1" x14ac:dyDescent="0.25">
      <c r="B106" s="46"/>
      <c r="C106" s="46"/>
      <c r="D106" s="46"/>
      <c r="E106" s="46"/>
      <c r="F106" s="46"/>
      <c r="G106" s="14"/>
      <c r="J106" s="9"/>
    </row>
    <row r="107" spans="2:10" ht="20.100000000000001" customHeight="1" thickBot="1" x14ac:dyDescent="0.3">
      <c r="B107" s="15" t="s">
        <v>186</v>
      </c>
      <c r="C107" s="15"/>
      <c r="D107" s="15"/>
      <c r="E107" s="15"/>
      <c r="F107" s="15"/>
      <c r="G107" s="14"/>
      <c r="J107" s="9"/>
    </row>
    <row r="108" spans="2:10" ht="15" customHeight="1" thickBot="1" x14ac:dyDescent="0.3">
      <c r="B108" s="163">
        <f>IFERROR(B144/1.2/1000-(B90*B96)/B99,0)</f>
        <v>0</v>
      </c>
      <c r="C108" s="149"/>
      <c r="D108" s="149"/>
      <c r="E108" s="149"/>
      <c r="F108" s="150"/>
      <c r="G108" s="14"/>
      <c r="J108" s="9"/>
    </row>
    <row r="109" spans="2:10" ht="9" customHeight="1" x14ac:dyDescent="0.25">
      <c r="B109" s="15"/>
      <c r="C109" s="46"/>
      <c r="D109" s="46"/>
      <c r="E109" s="46"/>
      <c r="F109" s="46"/>
      <c r="G109" s="14"/>
      <c r="J109" s="9"/>
    </row>
    <row r="110" spans="2:10" ht="20.100000000000001" customHeight="1" thickBot="1" x14ac:dyDescent="0.3">
      <c r="B110" s="15" t="s">
        <v>179</v>
      </c>
      <c r="C110" s="46"/>
      <c r="D110" s="46"/>
      <c r="E110" s="46"/>
      <c r="F110" s="46"/>
      <c r="G110" s="14"/>
      <c r="J110" s="9"/>
    </row>
    <row r="111" spans="2:10" ht="15" customHeight="1" thickBot="1" x14ac:dyDescent="0.3">
      <c r="B111" s="62">
        <f>(MIN(B105-B144)*B102/1000 ) * SUMIFS(Hárok2!$C$2:$C$13, Hárok2!$B$2:$B$13, "&gt;=" &amp; MONTH(DATEVALUE(TEXT(E87, "mmmm") &amp; " 1")), Hárok2!$B$2:$B$13, "&lt;=" &amp; MONTH(DATEVALUE(TEXT(F87, "mmmm") &amp; " 1")))</f>
        <v>0</v>
      </c>
      <c r="C111" s="60"/>
      <c r="D111" s="60"/>
      <c r="E111" s="60"/>
      <c r="F111" s="61"/>
      <c r="G111" s="14"/>
      <c r="J111" s="9"/>
    </row>
    <row r="112" spans="2:10" ht="28.5" customHeight="1" x14ac:dyDescent="0.25">
      <c r="B112" s="46"/>
      <c r="C112" s="46"/>
      <c r="D112" s="46"/>
      <c r="E112" s="46"/>
      <c r="F112" s="46"/>
      <c r="G112" s="14"/>
      <c r="J112" s="9"/>
    </row>
    <row r="113" spans="1:10" ht="15.75" customHeight="1" thickBot="1" x14ac:dyDescent="0.3">
      <c r="A113" s="52"/>
      <c r="B113" s="48" t="s">
        <v>21</v>
      </c>
      <c r="C113" s="49"/>
      <c r="D113" s="49"/>
      <c r="E113" s="48" t="s">
        <v>168</v>
      </c>
      <c r="F113" s="48" t="s">
        <v>169</v>
      </c>
      <c r="G113" s="14"/>
      <c r="J113" s="9"/>
    </row>
    <row r="114" spans="1:10" ht="15.75" customHeight="1" thickBot="1" x14ac:dyDescent="0.3">
      <c r="B114" s="172" t="s">
        <v>162</v>
      </c>
      <c r="C114" s="173"/>
      <c r="D114" s="45"/>
      <c r="E114" s="58"/>
      <c r="F114" s="59"/>
      <c r="G114" s="14"/>
      <c r="J114" s="9"/>
    </row>
    <row r="115" spans="1:10" ht="9.75" customHeight="1" x14ac:dyDescent="0.25">
      <c r="B115" s="16"/>
      <c r="C115" s="16"/>
      <c r="D115" s="16"/>
      <c r="E115" s="16"/>
      <c r="F115" s="16"/>
      <c r="G115" s="14"/>
      <c r="J115" s="9"/>
    </row>
    <row r="116" spans="1:10" ht="15.75" customHeight="1" thickBot="1" x14ac:dyDescent="0.3">
      <c r="B116" s="15" t="s">
        <v>180</v>
      </c>
      <c r="C116" s="16"/>
      <c r="D116" s="16"/>
      <c r="E116" s="16"/>
      <c r="F116" s="16"/>
      <c r="G116" s="14"/>
      <c r="J116" s="9"/>
    </row>
    <row r="117" spans="1:10" ht="15.75" customHeight="1" thickBot="1" x14ac:dyDescent="0.3">
      <c r="B117" s="154"/>
      <c r="C117" s="155"/>
      <c r="D117" s="155"/>
      <c r="E117" s="155"/>
      <c r="F117" s="156"/>
      <c r="G117" s="14"/>
      <c r="J117" s="9"/>
    </row>
    <row r="118" spans="1:10" ht="6.75" customHeight="1" x14ac:dyDescent="0.25">
      <c r="B118" s="16"/>
      <c r="C118" s="16"/>
      <c r="D118" s="16"/>
      <c r="E118" s="16"/>
      <c r="F118" s="16"/>
      <c r="G118" s="14"/>
      <c r="J118" s="9"/>
    </row>
    <row r="119" spans="1:10" ht="15.75" customHeight="1" thickBot="1" x14ac:dyDescent="0.3">
      <c r="B119" s="15" t="s">
        <v>181</v>
      </c>
      <c r="C119" s="16"/>
      <c r="D119" s="16"/>
      <c r="E119" s="16"/>
      <c r="F119" s="16"/>
      <c r="G119" s="14"/>
      <c r="J119" s="9"/>
    </row>
    <row r="120" spans="1:10" ht="15.75" customHeight="1" thickBot="1" x14ac:dyDescent="0.3">
      <c r="B120" s="154"/>
      <c r="C120" s="155"/>
      <c r="D120" s="155"/>
      <c r="E120" s="155"/>
      <c r="F120" s="156"/>
      <c r="G120" s="14"/>
      <c r="J120" s="9"/>
    </row>
    <row r="121" spans="1:10" ht="6" customHeight="1" x14ac:dyDescent="0.25">
      <c r="B121" s="16"/>
      <c r="C121" s="16"/>
      <c r="D121" s="16"/>
      <c r="E121" s="16"/>
      <c r="F121" s="16"/>
      <c r="G121" s="14"/>
      <c r="J121" s="9"/>
    </row>
    <row r="122" spans="1:10" ht="15.75" customHeight="1" thickBot="1" x14ac:dyDescent="0.3">
      <c r="B122" s="15" t="s">
        <v>182</v>
      </c>
      <c r="C122" s="16"/>
      <c r="D122" s="16"/>
      <c r="E122" s="16"/>
      <c r="F122" s="16"/>
      <c r="G122" s="14"/>
      <c r="J122" s="9"/>
    </row>
    <row r="123" spans="1:10" ht="15.75" customHeight="1" thickBot="1" x14ac:dyDescent="0.3">
      <c r="B123" s="154"/>
      <c r="C123" s="155"/>
      <c r="D123" s="155"/>
      <c r="E123" s="155"/>
      <c r="F123" s="156"/>
      <c r="G123" s="14"/>
      <c r="J123" s="9"/>
    </row>
    <row r="124" spans="1:10" ht="9" customHeight="1" x14ac:dyDescent="0.25">
      <c r="B124" s="16"/>
      <c r="C124" s="16"/>
      <c r="D124" s="16"/>
      <c r="E124" s="16"/>
      <c r="F124" s="16"/>
      <c r="G124" s="14"/>
      <c r="J124" s="9"/>
    </row>
    <row r="125" spans="1:10" ht="15.75" customHeight="1" thickBot="1" x14ac:dyDescent="0.3">
      <c r="B125" s="15" t="s">
        <v>172</v>
      </c>
      <c r="C125" s="16"/>
      <c r="D125" s="16"/>
      <c r="E125" s="16"/>
      <c r="F125" s="16"/>
      <c r="G125" s="14"/>
      <c r="J125" s="9"/>
    </row>
    <row r="126" spans="1:10" ht="15.75" customHeight="1" thickBot="1" x14ac:dyDescent="0.3">
      <c r="B126" s="151"/>
      <c r="C126" s="152"/>
      <c r="D126" s="152"/>
      <c r="E126" s="152"/>
      <c r="F126" s="153"/>
      <c r="G126" s="14"/>
      <c r="J126" s="9"/>
    </row>
    <row r="127" spans="1:10" ht="15.75" customHeight="1" x14ac:dyDescent="0.25">
      <c r="B127" s="47"/>
      <c r="C127" s="47"/>
      <c r="D127" s="47"/>
      <c r="E127" s="47"/>
      <c r="F127" s="47"/>
      <c r="G127" s="14"/>
      <c r="J127" s="9"/>
    </row>
    <row r="128" spans="1:10" ht="15.75" customHeight="1" thickBot="1" x14ac:dyDescent="0.3">
      <c r="B128" s="15" t="s">
        <v>184</v>
      </c>
      <c r="C128" s="16"/>
      <c r="D128" s="16"/>
      <c r="E128" s="16"/>
      <c r="F128" s="16"/>
      <c r="G128" s="14"/>
      <c r="J128" s="9"/>
    </row>
    <row r="129" spans="1:18" ht="15.75" customHeight="1" thickBot="1" x14ac:dyDescent="0.3">
      <c r="B129" s="154"/>
      <c r="C129" s="155"/>
      <c r="D129" s="155"/>
      <c r="E129" s="155"/>
      <c r="F129" s="156"/>
      <c r="G129" s="14"/>
      <c r="J129" s="9"/>
    </row>
    <row r="130" spans="1:18" ht="15.75" customHeight="1" x14ac:dyDescent="0.25">
      <c r="B130" s="50"/>
      <c r="C130" s="50"/>
      <c r="D130" s="50"/>
      <c r="E130" s="50"/>
      <c r="F130" s="50"/>
      <c r="G130" s="14"/>
      <c r="J130" s="9"/>
    </row>
    <row r="131" spans="1:18" ht="15.75" customHeight="1" thickBot="1" x14ac:dyDescent="0.3">
      <c r="B131" s="15" t="s">
        <v>185</v>
      </c>
      <c r="C131" s="16"/>
      <c r="D131" s="16"/>
      <c r="E131" s="16"/>
      <c r="F131" s="16"/>
      <c r="G131" s="14"/>
      <c r="J131" s="9"/>
    </row>
    <row r="132" spans="1:18" ht="15.75" customHeight="1" thickBot="1" x14ac:dyDescent="0.3">
      <c r="B132" s="163" t="str">
        <f>IFERROR( (B120 + (B123*B117/B126))*1000*1.2,"0")</f>
        <v>0</v>
      </c>
      <c r="C132" s="149"/>
      <c r="D132" s="149"/>
      <c r="E132" s="149"/>
      <c r="F132" s="150"/>
      <c r="G132" s="14"/>
      <c r="J132" s="9"/>
    </row>
    <row r="133" spans="1:18" ht="12.75" customHeight="1" x14ac:dyDescent="0.25">
      <c r="B133" s="46"/>
      <c r="C133" s="46"/>
      <c r="D133" s="46"/>
      <c r="E133" s="46"/>
      <c r="F133" s="46"/>
      <c r="G133" s="14"/>
      <c r="J133" s="9"/>
    </row>
    <row r="134" spans="1:18" ht="20.100000000000001" customHeight="1" thickBot="1" x14ac:dyDescent="0.3">
      <c r="B134" s="15" t="s">
        <v>186</v>
      </c>
      <c r="C134" s="15"/>
      <c r="D134" s="15"/>
      <c r="E134" s="15"/>
      <c r="F134" s="15"/>
      <c r="G134" s="14"/>
      <c r="J134" s="9"/>
    </row>
    <row r="135" spans="1:18" ht="23.25" customHeight="1" thickBot="1" x14ac:dyDescent="0.3">
      <c r="B135" s="163">
        <f>IFERROR(B144/1.2/1000-(B117*B123)/B126,0)</f>
        <v>0</v>
      </c>
      <c r="C135" s="149"/>
      <c r="D135" s="149"/>
      <c r="E135" s="149"/>
      <c r="F135" s="150"/>
      <c r="G135" s="14"/>
      <c r="J135" s="9"/>
    </row>
    <row r="136" spans="1:18" ht="17.25" customHeight="1" x14ac:dyDescent="0.25">
      <c r="B136" s="15"/>
      <c r="C136" s="46"/>
      <c r="D136" s="46"/>
      <c r="E136" s="46"/>
      <c r="F136" s="46"/>
      <c r="G136" s="14"/>
      <c r="J136" s="9"/>
    </row>
    <row r="137" spans="1:18" ht="20.100000000000001" customHeight="1" thickBot="1" x14ac:dyDescent="0.3">
      <c r="B137" s="15" t="s">
        <v>179</v>
      </c>
      <c r="C137" s="46"/>
      <c r="D137" s="46"/>
      <c r="E137" s="46"/>
      <c r="F137" s="46"/>
      <c r="G137" s="14"/>
      <c r="J137" s="9"/>
    </row>
    <row r="138" spans="1:18" ht="20.100000000000001" customHeight="1" thickBot="1" x14ac:dyDescent="0.3">
      <c r="B138" s="62">
        <f>(MIN(B132-B144)*B129/1000 ) * SUMIFS(Hárok2!$C$2:$C$13, Hárok2!$B$2:$B$13, "&gt;=" &amp; MONTH(DATEVALUE(TEXT(E114, "mmmm") &amp; " 1")), Hárok2!$B$2:$B$13, "&lt;=" &amp; MONTH(DATEVALUE(TEXT(F114, "mmmm") &amp; " 1")))</f>
        <v>0</v>
      </c>
      <c r="C138" s="60"/>
      <c r="D138" s="60"/>
      <c r="E138" s="60"/>
      <c r="F138" s="61"/>
      <c r="G138" s="65"/>
      <c r="H138" s="66"/>
      <c r="J138" s="9"/>
    </row>
    <row r="139" spans="1:18" ht="20.100000000000001" customHeight="1" x14ac:dyDescent="0.25">
      <c r="B139" s="46"/>
      <c r="C139" s="46"/>
      <c r="D139" s="46"/>
      <c r="E139" s="46"/>
      <c r="F139" s="46"/>
      <c r="G139" s="14"/>
      <c r="J139" s="9"/>
    </row>
    <row r="140" spans="1:18" ht="20.100000000000001" customHeight="1" x14ac:dyDescent="0.3">
      <c r="A140" s="11" t="s">
        <v>178</v>
      </c>
      <c r="B140" s="17"/>
      <c r="C140" s="17"/>
      <c r="D140" s="20"/>
      <c r="E140" s="20"/>
      <c r="F140" s="16"/>
      <c r="J140" s="9"/>
      <c r="K140" s="64"/>
      <c r="L140" s="64"/>
      <c r="M140" s="64"/>
      <c r="Q140" s="75"/>
      <c r="R140" s="64"/>
    </row>
    <row r="141" spans="1:18" ht="20.100000000000001" customHeight="1" x14ac:dyDescent="0.3">
      <c r="A141" s="55"/>
      <c r="B141" s="56"/>
      <c r="C141" s="56"/>
      <c r="D141" s="16"/>
      <c r="E141" s="16"/>
      <c r="F141" s="16"/>
      <c r="J141" s="9"/>
      <c r="K141" s="64"/>
      <c r="L141" s="64"/>
      <c r="M141" s="64"/>
      <c r="Q141" s="75"/>
    </row>
    <row r="142" spans="1:18" ht="20.100000000000001" customHeight="1" x14ac:dyDescent="0.25">
      <c r="B142" s="16"/>
      <c r="C142" s="16"/>
      <c r="D142" s="16"/>
      <c r="E142" s="16"/>
      <c r="F142" s="16"/>
      <c r="J142" s="9"/>
      <c r="K142" s="64"/>
      <c r="L142" s="64"/>
      <c r="M142" s="64"/>
      <c r="Q142" s="75"/>
    </row>
    <row r="143" spans="1:18" ht="15.75" customHeight="1" thickBot="1" x14ac:dyDescent="0.3">
      <c r="B143" s="15" t="s">
        <v>50</v>
      </c>
      <c r="C143" s="16"/>
      <c r="D143" s="16"/>
      <c r="E143" s="16"/>
      <c r="F143" s="16"/>
      <c r="J143" s="9"/>
      <c r="Q143" s="75"/>
    </row>
    <row r="144" spans="1:18" ht="15.75" customHeight="1" thickBot="1" x14ac:dyDescent="0.3">
      <c r="B144" s="163">
        <f>MIN(199,(B54+20))</f>
        <v>158.228973544312</v>
      </c>
      <c r="C144" s="149"/>
      <c r="D144" s="149"/>
      <c r="E144" s="149"/>
      <c r="F144" s="150"/>
      <c r="J144" s="9"/>
      <c r="Q144" s="75"/>
    </row>
    <row r="145" spans="2:17" ht="15.75" customHeight="1" x14ac:dyDescent="0.25">
      <c r="B145" s="16"/>
      <c r="C145" s="16"/>
      <c r="D145" s="16"/>
      <c r="E145" s="16"/>
      <c r="F145" s="16"/>
      <c r="J145" s="9"/>
      <c r="Q145" s="75"/>
    </row>
    <row r="146" spans="2:17" ht="15.75" customHeight="1" thickBot="1" x14ac:dyDescent="0.3">
      <c r="B146" s="15" t="s">
        <v>187</v>
      </c>
      <c r="C146" s="16"/>
      <c r="D146" s="16"/>
      <c r="E146" s="16"/>
      <c r="F146" s="16"/>
      <c r="J146" s="9"/>
      <c r="Q146" s="75"/>
    </row>
    <row r="147" spans="2:17" ht="15.75" customHeight="1" thickBot="1" x14ac:dyDescent="0.3">
      <c r="B147" s="148">
        <f>(B135*B129+B108*B102+B81*B75)/SUM(B75+B129+B102)</f>
        <v>8.5890841408931648E-2</v>
      </c>
      <c r="C147" s="149"/>
      <c r="D147" s="149"/>
      <c r="E147" s="149"/>
      <c r="F147" s="150"/>
      <c r="J147" s="9"/>
      <c r="Q147" s="75"/>
    </row>
    <row r="148" spans="2:17" ht="15.75" customHeight="1" x14ac:dyDescent="0.25">
      <c r="B148" s="16"/>
      <c r="C148" s="16"/>
      <c r="D148" s="16"/>
      <c r="E148" s="16"/>
      <c r="F148" s="16"/>
      <c r="J148" s="9"/>
      <c r="Q148" s="75"/>
    </row>
    <row r="149" spans="2:17" ht="15.75" customHeight="1" thickBot="1" x14ac:dyDescent="0.3">
      <c r="B149" s="15" t="s">
        <v>174</v>
      </c>
      <c r="C149" s="16"/>
      <c r="D149" s="15"/>
      <c r="E149" s="15"/>
      <c r="F149" s="16"/>
      <c r="J149" s="9"/>
      <c r="Q149" s="75"/>
    </row>
    <row r="150" spans="2:17" ht="15.75" customHeight="1" thickBot="1" x14ac:dyDescent="0.3">
      <c r="B150" s="169">
        <f>B138+B111+B84</f>
        <v>2763258.0555599169</v>
      </c>
      <c r="C150" s="170"/>
      <c r="D150" s="53"/>
      <c r="E150" s="171"/>
      <c r="F150" s="171"/>
      <c r="H150" s="44"/>
      <c r="J150" s="9"/>
      <c r="Q150" s="75"/>
    </row>
    <row r="151" spans="2:17" ht="15.75" customHeight="1" x14ac:dyDescent="0.25">
      <c r="B151" s="16"/>
      <c r="C151" s="16"/>
      <c r="D151" s="16"/>
      <c r="E151" s="16"/>
      <c r="F151" s="16"/>
      <c r="J151" s="9"/>
      <c r="Q151" s="75"/>
    </row>
    <row r="152" spans="2:17" ht="15.75" customHeight="1" x14ac:dyDescent="0.25">
      <c r="B152" s="16"/>
      <c r="C152" s="16"/>
      <c r="D152" s="16"/>
      <c r="E152" s="16"/>
      <c r="F152" s="16"/>
      <c r="J152" s="9"/>
    </row>
    <row r="153" spans="2:17" ht="20.100000000000001" customHeight="1" x14ac:dyDescent="0.25">
      <c r="B153" s="16"/>
      <c r="C153" s="16"/>
      <c r="D153" s="16"/>
      <c r="E153" s="16"/>
      <c r="F153" s="16"/>
      <c r="J153" s="9"/>
    </row>
    <row r="154" spans="2:17" ht="20.100000000000001" customHeight="1" x14ac:dyDescent="0.25">
      <c r="B154" s="21" t="s">
        <v>175</v>
      </c>
      <c r="C154" s="21"/>
      <c r="D154" s="21"/>
      <c r="E154" s="21"/>
      <c r="F154" s="22"/>
      <c r="G154" s="1"/>
      <c r="J154" s="9"/>
    </row>
    <row r="155" spans="2:17" ht="20.100000000000001" customHeight="1" x14ac:dyDescent="0.25">
      <c r="B155" s="23"/>
      <c r="C155" s="23"/>
      <c r="D155" s="23"/>
      <c r="E155" s="23"/>
      <c r="F155" s="22"/>
    </row>
    <row r="156" spans="2:17" ht="20.100000000000001" customHeight="1" x14ac:dyDescent="0.25">
      <c r="B156" s="67" t="s">
        <v>22</v>
      </c>
      <c r="C156" s="67" t="s">
        <v>23</v>
      </c>
      <c r="D156" s="67" t="s">
        <v>24</v>
      </c>
      <c r="E156" s="67" t="s">
        <v>25</v>
      </c>
      <c r="F156" s="67" t="s">
        <v>26</v>
      </c>
      <c r="G156" s="68" t="s">
        <v>27</v>
      </c>
    </row>
    <row r="157" spans="2:17" ht="23.25" customHeight="1" x14ac:dyDescent="0.25">
      <c r="B157" s="80">
        <f>SUMIFS(Hárok2!$C$2:$C$13,Hárok2!$B$2:$B$13,"="&amp;MONTH(DATEVALUE(TEXT(B156,"mmmm")&amp;" 1"))*OR(SUMIFS(Hárok2!$C$2:$C$13,Hárok2!$B$2:$B$13,"="&amp;MONTH(DATEVALUE(TEXT(B156,"mmmm")&amp;" 1"))*OR(SUMIFS(Hárok2!$C$2:$C$13,Hárok2!$B$2:$B$13,"&gt;="&amp;MONTH(DATEVALUE(TEXT(B156,"mmmm")&amp;" 1")))))))*B150</f>
        <v>486333.41777854535</v>
      </c>
      <c r="C157" s="69">
        <f>B150*Hárok2!C3</f>
        <v>400672.41805618792</v>
      </c>
      <c r="D157" s="69">
        <f>Hárok2!C4*'Formulár vyplnene 1'!B150</f>
        <v>386856.12777838839</v>
      </c>
      <c r="E157" s="69">
        <f>Hárok2!C5*'Formulár vyplnene 1'!B150</f>
        <v>248693.2250003925</v>
      </c>
      <c r="F157" s="69">
        <f>B150*Hárok2!C6</f>
        <v>55265.161111198337</v>
      </c>
      <c r="G157" s="69">
        <f>Hárok2!C7*'Formulár vyplnene 1'!B150</f>
        <v>44212.128888958672</v>
      </c>
    </row>
    <row r="158" spans="2:17" ht="24.95" customHeight="1" x14ac:dyDescent="0.25">
      <c r="B158" s="67" t="s">
        <v>28</v>
      </c>
      <c r="C158" s="67" t="s">
        <v>29</v>
      </c>
      <c r="D158" s="67" t="s">
        <v>30</v>
      </c>
      <c r="E158" s="67" t="s">
        <v>31</v>
      </c>
      <c r="F158" s="67" t="s">
        <v>32</v>
      </c>
      <c r="G158" s="68" t="s">
        <v>33</v>
      </c>
    </row>
    <row r="159" spans="2:17" ht="15.75" customHeight="1" x14ac:dyDescent="0.25">
      <c r="B159" s="69">
        <f>Hárok2!C8*'Formulár vyplnene 1'!B150</f>
        <v>44212.128888958672</v>
      </c>
      <c r="C159" s="69">
        <f>Hárok2!C9*'Formulár vyplnene 1'!B150</f>
        <v>44212.128888958672</v>
      </c>
      <c r="D159" s="69">
        <f>B150*Hárok2!C10</f>
        <v>55265.161111198337</v>
      </c>
      <c r="E159" s="69">
        <f>Hárok2!C11*'Formulár vyplnene 1'!B150</f>
        <v>221060.64444479335</v>
      </c>
      <c r="F159" s="69">
        <f>Hárok2!C12*'Formulár vyplnene 1'!B150</f>
        <v>331590.96666719002</v>
      </c>
      <c r="G159" s="69">
        <f>B150*Hárok2!C13</f>
        <v>444884.54694514663</v>
      </c>
    </row>
    <row r="160" spans="2:17" ht="15.75" x14ac:dyDescent="0.25">
      <c r="B160" s="24"/>
      <c r="C160" s="24"/>
      <c r="D160" s="24"/>
      <c r="E160" s="24"/>
      <c r="F160" s="24"/>
      <c r="G160" s="13"/>
      <c r="H160" s="13"/>
    </row>
    <row r="161" spans="2:10" ht="15.75" x14ac:dyDescent="0.25">
      <c r="B161" s="24"/>
      <c r="C161" s="24"/>
      <c r="D161" s="24"/>
      <c r="E161" s="24"/>
      <c r="F161" s="24"/>
      <c r="G161" s="13"/>
      <c r="H161" s="13"/>
    </row>
    <row r="162" spans="2:10" ht="15.75" x14ac:dyDescent="0.25">
      <c r="B162" s="89">
        <f>B84 *(Hárok2!C2/SUM(Hárok2!C2:C13))</f>
        <v>486333.41777854535</v>
      </c>
      <c r="C162" s="24"/>
      <c r="D162" s="24"/>
      <c r="E162" s="24"/>
      <c r="F162" s="24"/>
      <c r="G162" s="13"/>
      <c r="H162" s="13"/>
    </row>
    <row r="163" spans="2:10" ht="15.75" x14ac:dyDescent="0.25">
      <c r="B163" s="24"/>
      <c r="C163" s="24"/>
      <c r="D163" s="24"/>
      <c r="E163" s="24"/>
      <c r="F163" s="24"/>
      <c r="G163" s="13"/>
      <c r="H163" s="13"/>
    </row>
    <row r="164" spans="2:10" ht="15.75" x14ac:dyDescent="0.25">
      <c r="B164" s="24"/>
      <c r="C164" s="24"/>
      <c r="D164" s="24"/>
      <c r="E164" s="24"/>
      <c r="F164" s="24"/>
      <c r="G164" s="13"/>
      <c r="H164" s="13"/>
    </row>
    <row r="165" spans="2:10" ht="15.75" x14ac:dyDescent="0.25">
      <c r="B165" s="24"/>
      <c r="C165" s="24"/>
      <c r="D165" s="24"/>
      <c r="E165" s="24"/>
      <c r="F165" s="24"/>
      <c r="G165" s="13"/>
      <c r="H165" s="13"/>
    </row>
    <row r="166" spans="2:10" ht="15.75" x14ac:dyDescent="0.25">
      <c r="B166" s="24"/>
      <c r="C166" s="24"/>
      <c r="D166" s="24"/>
      <c r="E166" s="24"/>
      <c r="F166" s="26"/>
      <c r="G166" s="13"/>
      <c r="H166" s="13"/>
      <c r="I166" s="13"/>
      <c r="J166" s="4"/>
    </row>
    <row r="167" spans="2:10" ht="15.75" x14ac:dyDescent="0.25">
      <c r="B167" s="24"/>
      <c r="C167" s="24"/>
      <c r="D167" s="24"/>
      <c r="E167" s="24"/>
      <c r="F167" s="26"/>
      <c r="G167" s="13"/>
      <c r="H167" s="13"/>
      <c r="I167" s="13"/>
      <c r="J167" s="4"/>
    </row>
    <row r="168" spans="2:10" ht="15.75" x14ac:dyDescent="0.25">
      <c r="B168" s="25" t="s">
        <v>52</v>
      </c>
      <c r="C168" s="24"/>
      <c r="D168" s="24"/>
      <c r="E168" s="24"/>
      <c r="F168" s="26"/>
      <c r="G168" s="13"/>
      <c r="H168" s="13"/>
      <c r="I168" s="13"/>
      <c r="J168" s="4"/>
    </row>
    <row r="169" spans="2:10" ht="15.75" thickBot="1" x14ac:dyDescent="0.3">
      <c r="B169" s="16" t="s">
        <v>132</v>
      </c>
      <c r="C169" s="16"/>
      <c r="D169" s="16" t="s">
        <v>133</v>
      </c>
      <c r="E169" s="16"/>
      <c r="F169" s="27"/>
      <c r="J169" s="4"/>
    </row>
    <row r="170" spans="2:10" ht="15.75" thickBot="1" x14ac:dyDescent="0.3">
      <c r="B170" s="39" t="s">
        <v>164</v>
      </c>
      <c r="C170" s="16"/>
      <c r="D170" s="39" t="s">
        <v>165</v>
      </c>
      <c r="E170" s="16"/>
      <c r="F170" s="27"/>
      <c r="J170" s="4"/>
    </row>
    <row r="171" spans="2:10" x14ac:dyDescent="0.25">
      <c r="B171" s="28"/>
      <c r="C171" s="16"/>
      <c r="D171" s="16"/>
      <c r="E171" s="16"/>
      <c r="F171" s="27"/>
      <c r="J171" s="4"/>
    </row>
    <row r="172" spans="2:10" ht="15.75" thickBot="1" x14ac:dyDescent="0.3">
      <c r="B172" s="16" t="s">
        <v>134</v>
      </c>
      <c r="C172" s="16"/>
      <c r="D172" s="16" t="s">
        <v>135</v>
      </c>
      <c r="E172" s="16"/>
      <c r="F172" s="27"/>
      <c r="J172" s="4"/>
    </row>
    <row r="173" spans="2:10" ht="15.75" thickBot="1" x14ac:dyDescent="0.3">
      <c r="B173" s="39" t="s">
        <v>166</v>
      </c>
      <c r="C173" s="16"/>
      <c r="D173" s="39" t="s">
        <v>165</v>
      </c>
      <c r="E173" s="16"/>
      <c r="F173" s="27"/>
      <c r="J173" s="4"/>
    </row>
    <row r="174" spans="2:10" x14ac:dyDescent="0.25">
      <c r="B174" s="28"/>
      <c r="C174" s="16"/>
      <c r="D174" s="16"/>
      <c r="E174" s="16"/>
      <c r="F174" s="27"/>
      <c r="J174" s="4"/>
    </row>
    <row r="175" spans="2:10" ht="15.75" thickBot="1" x14ac:dyDescent="0.3">
      <c r="B175" s="16" t="s">
        <v>136</v>
      </c>
      <c r="C175" s="16"/>
      <c r="D175" s="16" t="s">
        <v>137</v>
      </c>
      <c r="E175" s="16"/>
      <c r="F175" s="27"/>
      <c r="J175" s="4"/>
    </row>
    <row r="176" spans="2:10" ht="15.75" thickBot="1" x14ac:dyDescent="0.3">
      <c r="B176" s="39"/>
      <c r="C176" s="16"/>
      <c r="D176" s="39"/>
      <c r="E176" s="16"/>
      <c r="F176" s="27"/>
      <c r="J176" s="4"/>
    </row>
    <row r="177" spans="2:10" x14ac:dyDescent="0.25">
      <c r="B177" s="28"/>
      <c r="C177" s="16"/>
      <c r="D177" s="16"/>
      <c r="E177" s="16"/>
      <c r="F177" s="27"/>
      <c r="J177" s="4"/>
    </row>
    <row r="178" spans="2:10" ht="15.75" thickBot="1" x14ac:dyDescent="0.3">
      <c r="B178" s="16" t="s">
        <v>138</v>
      </c>
      <c r="C178" s="16"/>
      <c r="D178" s="16" t="s">
        <v>139</v>
      </c>
      <c r="E178" s="16"/>
      <c r="F178" s="27"/>
      <c r="J178" s="4"/>
    </row>
    <row r="179" spans="2:10" ht="15.75" thickBot="1" x14ac:dyDescent="0.3">
      <c r="B179" s="39"/>
      <c r="C179" s="16"/>
      <c r="D179" s="39"/>
      <c r="E179" s="16"/>
      <c r="F179" s="27"/>
      <c r="J179" s="4"/>
    </row>
    <row r="180" spans="2:10" x14ac:dyDescent="0.25">
      <c r="B180" s="28"/>
      <c r="C180" s="16"/>
      <c r="D180" s="16"/>
      <c r="E180" s="16"/>
      <c r="F180" s="27"/>
      <c r="J180" s="4"/>
    </row>
    <row r="181" spans="2:10" ht="15.75" thickBot="1" x14ac:dyDescent="0.3">
      <c r="B181" s="16" t="s">
        <v>140</v>
      </c>
      <c r="C181" s="16"/>
      <c r="D181" s="16" t="s">
        <v>141</v>
      </c>
      <c r="E181" s="16"/>
      <c r="F181" s="27"/>
      <c r="J181" s="4"/>
    </row>
    <row r="182" spans="2:10" ht="15.75" thickBot="1" x14ac:dyDescent="0.3">
      <c r="B182" s="39"/>
      <c r="C182" s="16"/>
      <c r="D182" s="39"/>
      <c r="E182" s="16"/>
      <c r="F182" s="27"/>
      <c r="J182" s="4"/>
    </row>
    <row r="183" spans="2:10" x14ac:dyDescent="0.25">
      <c r="B183" s="28"/>
      <c r="C183" s="16"/>
      <c r="D183" s="16"/>
      <c r="E183" s="16"/>
      <c r="F183" s="27"/>
      <c r="J183" s="4"/>
    </row>
    <row r="184" spans="2:10" ht="15.75" thickBot="1" x14ac:dyDescent="0.3">
      <c r="B184" s="16" t="s">
        <v>140</v>
      </c>
      <c r="C184" s="16"/>
      <c r="D184" s="16" t="s">
        <v>141</v>
      </c>
      <c r="E184" s="16"/>
      <c r="F184" s="27"/>
      <c r="J184" s="4"/>
    </row>
    <row r="185" spans="2:10" ht="15.75" thickBot="1" x14ac:dyDescent="0.3">
      <c r="B185" s="39"/>
      <c r="C185" s="16"/>
      <c r="D185" s="39"/>
      <c r="E185" s="16"/>
      <c r="F185" s="27"/>
      <c r="J185" s="4"/>
    </row>
    <row r="186" spans="2:10" x14ac:dyDescent="0.25">
      <c r="B186" s="28"/>
      <c r="C186" s="16"/>
      <c r="D186" s="16"/>
      <c r="E186" s="16"/>
      <c r="F186" s="27"/>
      <c r="J186" s="4"/>
    </row>
    <row r="187" spans="2:10" ht="15.75" thickBot="1" x14ac:dyDescent="0.3">
      <c r="B187" s="16" t="s">
        <v>142</v>
      </c>
      <c r="C187" s="16"/>
      <c r="D187" s="16" t="s">
        <v>143</v>
      </c>
      <c r="E187" s="16"/>
      <c r="F187" s="27"/>
      <c r="J187" s="4"/>
    </row>
    <row r="188" spans="2:10" ht="15.75" thickBot="1" x14ac:dyDescent="0.3">
      <c r="B188" s="39"/>
      <c r="C188" s="16"/>
      <c r="D188" s="39"/>
      <c r="E188" s="16"/>
      <c r="F188" s="27"/>
      <c r="J188" s="4"/>
    </row>
    <row r="189" spans="2:10" x14ac:dyDescent="0.25">
      <c r="B189" s="28"/>
      <c r="C189" s="16"/>
      <c r="D189" s="16"/>
      <c r="E189" s="16"/>
      <c r="F189" s="27"/>
      <c r="J189" s="4"/>
    </row>
    <row r="190" spans="2:10" ht="15.75" thickBot="1" x14ac:dyDescent="0.3">
      <c r="B190" s="16" t="s">
        <v>144</v>
      </c>
      <c r="C190" s="16"/>
      <c r="D190" s="16" t="s">
        <v>145</v>
      </c>
      <c r="E190" s="16"/>
      <c r="F190" s="27"/>
      <c r="J190" s="4"/>
    </row>
    <row r="191" spans="2:10" ht="15.75" thickBot="1" x14ac:dyDescent="0.3">
      <c r="B191" s="39"/>
      <c r="C191" s="16"/>
      <c r="D191" s="39"/>
      <c r="E191" s="16"/>
      <c r="F191" s="27"/>
      <c r="J191" s="4"/>
    </row>
    <row r="192" spans="2:10" x14ac:dyDescent="0.25">
      <c r="B192" s="28"/>
      <c r="C192" s="16"/>
      <c r="D192" s="16"/>
      <c r="E192" s="16"/>
      <c r="F192" s="27"/>
      <c r="J192" s="4"/>
    </row>
    <row r="193" spans="2:10" ht="15.75" thickBot="1" x14ac:dyDescent="0.3">
      <c r="B193" s="16" t="s">
        <v>146</v>
      </c>
      <c r="C193" s="16"/>
      <c r="D193" s="16" t="s">
        <v>147</v>
      </c>
      <c r="E193" s="16"/>
      <c r="F193" s="27"/>
      <c r="J193" s="4"/>
    </row>
    <row r="194" spans="2:10" ht="15.75" thickBot="1" x14ac:dyDescent="0.3">
      <c r="B194" s="39"/>
      <c r="C194" s="16"/>
      <c r="D194" s="39"/>
      <c r="E194" s="16"/>
      <c r="F194" s="27"/>
      <c r="J194" s="4"/>
    </row>
    <row r="195" spans="2:10" x14ac:dyDescent="0.25">
      <c r="B195" s="28"/>
      <c r="C195" s="16"/>
      <c r="D195" s="16"/>
      <c r="E195" s="16"/>
      <c r="F195" s="27"/>
      <c r="J195" s="4"/>
    </row>
    <row r="196" spans="2:10" ht="15.75" thickBot="1" x14ac:dyDescent="0.3">
      <c r="B196" s="16" t="s">
        <v>148</v>
      </c>
      <c r="C196" s="16"/>
      <c r="D196" s="16" t="s">
        <v>149</v>
      </c>
      <c r="E196" s="16"/>
      <c r="F196" s="27"/>
      <c r="J196" s="4"/>
    </row>
    <row r="197" spans="2:10" ht="15.75" thickBot="1" x14ac:dyDescent="0.3">
      <c r="B197" s="39"/>
      <c r="C197" s="16"/>
      <c r="D197" s="39"/>
      <c r="E197" s="16"/>
      <c r="F197" s="27"/>
      <c r="J197" s="4"/>
    </row>
    <row r="198" spans="2:10" x14ac:dyDescent="0.25">
      <c r="B198" s="28"/>
      <c r="C198" s="16"/>
      <c r="D198" s="16"/>
      <c r="E198" s="16"/>
      <c r="F198" s="27"/>
      <c r="J198" s="4"/>
    </row>
    <row r="199" spans="2:10" ht="15.75" thickBot="1" x14ac:dyDescent="0.3">
      <c r="B199" s="16" t="s">
        <v>150</v>
      </c>
      <c r="C199" s="16"/>
      <c r="D199" s="16" t="s">
        <v>151</v>
      </c>
      <c r="E199" s="16"/>
      <c r="F199" s="27"/>
      <c r="J199" s="4"/>
    </row>
    <row r="200" spans="2:10" ht="15.75" thickBot="1" x14ac:dyDescent="0.3">
      <c r="B200" s="39"/>
      <c r="C200" s="16"/>
      <c r="D200" s="39"/>
      <c r="E200" s="16"/>
      <c r="F200" s="27"/>
      <c r="J200" s="4"/>
    </row>
    <row r="201" spans="2:10" x14ac:dyDescent="0.25">
      <c r="B201" s="16"/>
      <c r="C201" s="16"/>
      <c r="D201" s="16"/>
      <c r="E201" s="16"/>
      <c r="F201" s="16"/>
    </row>
    <row r="202" spans="2:10" x14ac:dyDescent="0.25">
      <c r="B202" s="168" t="s">
        <v>17</v>
      </c>
      <c r="C202" s="168"/>
      <c r="D202" s="168"/>
      <c r="E202" s="168"/>
      <c r="F202" s="168"/>
      <c r="J202" s="164"/>
    </row>
    <row r="203" spans="2:10" ht="7.5" customHeight="1" x14ac:dyDescent="0.25">
      <c r="B203" s="16"/>
      <c r="C203" s="16"/>
      <c r="D203" s="16"/>
      <c r="E203" s="16"/>
      <c r="F203" s="16"/>
      <c r="J203" s="164"/>
    </row>
    <row r="204" spans="2:10" ht="159.75" customHeight="1" x14ac:dyDescent="0.25">
      <c r="B204" s="174" t="s">
        <v>51</v>
      </c>
      <c r="C204" s="175"/>
      <c r="D204" s="175"/>
      <c r="E204" s="175"/>
      <c r="F204" s="175"/>
      <c r="G204" s="40" t="s">
        <v>167</v>
      </c>
      <c r="J204" s="164"/>
    </row>
    <row r="205" spans="2:10" ht="7.5" customHeight="1" x14ac:dyDescent="0.25">
      <c r="B205" s="29"/>
      <c r="C205" s="30"/>
      <c r="D205" s="30"/>
      <c r="E205" s="30"/>
      <c r="F205" s="30"/>
      <c r="J205" s="164"/>
    </row>
    <row r="206" spans="2:10" ht="75.599999999999994" customHeight="1" x14ac:dyDescent="0.25">
      <c r="B206" s="174" t="s">
        <v>38</v>
      </c>
      <c r="C206" s="174"/>
      <c r="D206" s="174"/>
      <c r="E206" s="174"/>
      <c r="F206" s="174"/>
      <c r="G206" s="40" t="s">
        <v>167</v>
      </c>
      <c r="J206" s="164"/>
    </row>
    <row r="207" spans="2:10" ht="7.5" customHeight="1" x14ac:dyDescent="0.25">
      <c r="B207" s="29"/>
      <c r="C207" s="29"/>
      <c r="D207" s="29"/>
      <c r="E207" s="29"/>
      <c r="F207" s="29"/>
      <c r="J207" s="164"/>
    </row>
    <row r="208" spans="2:10" ht="45.95" customHeight="1" x14ac:dyDescent="0.25">
      <c r="B208" s="174" t="s">
        <v>39</v>
      </c>
      <c r="C208" s="174"/>
      <c r="D208" s="174"/>
      <c r="E208" s="174"/>
      <c r="F208" s="174"/>
      <c r="G208" s="40" t="s">
        <v>167</v>
      </c>
      <c r="J208" s="164"/>
    </row>
    <row r="209" spans="2:10" ht="7.5" customHeight="1" x14ac:dyDescent="0.25">
      <c r="B209" s="29"/>
      <c r="C209" s="29"/>
      <c r="D209" s="29"/>
      <c r="E209" s="29"/>
      <c r="F209" s="29"/>
      <c r="J209" s="164"/>
    </row>
    <row r="210" spans="2:10" ht="32.1" customHeight="1" x14ac:dyDescent="0.25">
      <c r="B210" s="193" t="s">
        <v>40</v>
      </c>
      <c r="C210" s="174"/>
      <c r="D210" s="174"/>
      <c r="E210" s="174"/>
      <c r="F210" s="174"/>
      <c r="G210" s="40" t="s">
        <v>167</v>
      </c>
      <c r="J210" s="164"/>
    </row>
    <row r="211" spans="2:10" ht="7.5" customHeight="1" x14ac:dyDescent="0.25">
      <c r="B211" s="29"/>
      <c r="C211" s="29"/>
      <c r="D211" s="29"/>
      <c r="E211" s="29"/>
      <c r="F211" s="29"/>
      <c r="J211" s="164"/>
    </row>
    <row r="212" spans="2:10" ht="45.95" customHeight="1" x14ac:dyDescent="0.25">
      <c r="B212" s="192" t="s">
        <v>41</v>
      </c>
      <c r="C212" s="192"/>
      <c r="D212" s="192"/>
      <c r="E212" s="192"/>
      <c r="F212" s="192"/>
      <c r="G212" s="40" t="s">
        <v>167</v>
      </c>
      <c r="J212" s="164"/>
    </row>
    <row r="213" spans="2:10" ht="6.95" customHeight="1" x14ac:dyDescent="0.25">
      <c r="B213" s="31"/>
      <c r="C213" s="31"/>
      <c r="D213" s="31"/>
      <c r="E213" s="31"/>
      <c r="F213" s="31"/>
      <c r="J213" s="164"/>
    </row>
    <row r="214" spans="2:10" ht="45.95" customHeight="1" x14ac:dyDescent="0.25">
      <c r="B214" s="192" t="s">
        <v>42</v>
      </c>
      <c r="C214" s="192"/>
      <c r="D214" s="192"/>
      <c r="E214" s="192"/>
      <c r="F214" s="192"/>
      <c r="G214" s="40" t="s">
        <v>167</v>
      </c>
      <c r="J214" s="164"/>
    </row>
    <row r="215" spans="2:10" ht="7.5" customHeight="1" x14ac:dyDescent="0.25">
      <c r="B215" s="29"/>
      <c r="C215" s="29"/>
      <c r="D215" s="29"/>
      <c r="E215" s="29"/>
      <c r="F215" s="29"/>
      <c r="J215" s="164"/>
    </row>
    <row r="216" spans="2:10" ht="47.1" customHeight="1" x14ac:dyDescent="0.25">
      <c r="B216" s="174" t="s">
        <v>43</v>
      </c>
      <c r="C216" s="174"/>
      <c r="D216" s="174"/>
      <c r="E216" s="174"/>
      <c r="F216" s="174"/>
      <c r="G216" s="40" t="s">
        <v>167</v>
      </c>
      <c r="J216" s="164"/>
    </row>
    <row r="217" spans="2:10" ht="7.5" customHeight="1" x14ac:dyDescent="0.25">
      <c r="B217" s="29"/>
      <c r="C217" s="29"/>
      <c r="D217" s="29"/>
      <c r="E217" s="29"/>
      <c r="F217" s="29"/>
      <c r="J217" s="164"/>
    </row>
    <row r="218" spans="2:10" ht="7.5" customHeight="1" x14ac:dyDescent="0.25">
      <c r="B218" s="29"/>
      <c r="C218" s="29"/>
      <c r="D218" s="29"/>
      <c r="E218" s="29"/>
      <c r="F218" s="29"/>
      <c r="J218" s="164"/>
    </row>
    <row r="219" spans="2:10" ht="46.5" customHeight="1" x14ac:dyDescent="0.25">
      <c r="B219" s="174" t="s">
        <v>44</v>
      </c>
      <c r="C219" s="175"/>
      <c r="D219" s="175"/>
      <c r="E219" s="175"/>
      <c r="F219" s="175"/>
      <c r="G219" s="40" t="s">
        <v>167</v>
      </c>
      <c r="J219" s="164"/>
    </row>
    <row r="220" spans="2:10" ht="7.5" customHeight="1" x14ac:dyDescent="0.25">
      <c r="B220" s="29"/>
      <c r="C220" s="30"/>
      <c r="D220" s="30"/>
      <c r="E220" s="30"/>
      <c r="F220" s="30"/>
      <c r="J220" s="164"/>
    </row>
    <row r="221" spans="2:10" ht="7.5" customHeight="1" x14ac:dyDescent="0.25">
      <c r="B221" s="16"/>
      <c r="C221" s="16"/>
      <c r="D221" s="16"/>
      <c r="E221" s="16"/>
      <c r="F221" s="16"/>
      <c r="J221" s="164"/>
    </row>
    <row r="222" spans="2:10" ht="74.45" customHeight="1" x14ac:dyDescent="0.25">
      <c r="B222" s="174" t="s">
        <v>45</v>
      </c>
      <c r="C222" s="175"/>
      <c r="D222" s="175"/>
      <c r="E222" s="175"/>
      <c r="F222" s="175"/>
      <c r="G222" s="40" t="s">
        <v>167</v>
      </c>
      <c r="J222" s="164"/>
    </row>
    <row r="223" spans="2:10" ht="7.5" customHeight="1" x14ac:dyDescent="0.25">
      <c r="B223" s="16"/>
      <c r="C223" s="16"/>
      <c r="D223" s="16"/>
      <c r="E223" s="16"/>
      <c r="F223" s="16"/>
      <c r="J223" s="164"/>
    </row>
    <row r="224" spans="2:10" ht="33.950000000000003" customHeight="1" x14ac:dyDescent="0.25">
      <c r="B224" s="174" t="s">
        <v>46</v>
      </c>
      <c r="C224" s="175"/>
      <c r="D224" s="175"/>
      <c r="E224" s="175"/>
      <c r="F224" s="175"/>
      <c r="G224" s="40" t="s">
        <v>167</v>
      </c>
      <c r="J224" s="164"/>
    </row>
    <row r="225" spans="2:10" ht="7.5" customHeight="1" x14ac:dyDescent="0.25">
      <c r="B225" s="32"/>
      <c r="C225" s="33"/>
      <c r="D225" s="33"/>
      <c r="E225" s="33"/>
      <c r="F225" s="33"/>
      <c r="J225" s="164"/>
    </row>
    <row r="226" spans="2:10" ht="6.95" customHeight="1" x14ac:dyDescent="0.25">
      <c r="B226" s="29"/>
      <c r="C226" s="29"/>
      <c r="D226" s="29"/>
      <c r="E226" s="29"/>
      <c r="F226" s="29"/>
      <c r="J226" s="4"/>
    </row>
    <row r="227" spans="2:10" ht="33.950000000000003" customHeight="1" x14ac:dyDescent="0.25">
      <c r="B227" s="186" t="s">
        <v>47</v>
      </c>
      <c r="C227" s="186"/>
      <c r="D227" s="186"/>
      <c r="E227" s="186"/>
      <c r="F227" s="186"/>
      <c r="G227" s="40" t="s">
        <v>167</v>
      </c>
      <c r="J227" s="4"/>
    </row>
    <row r="228" spans="2:10" ht="24.95" customHeight="1" x14ac:dyDescent="0.25"/>
    <row r="229" spans="2:10" ht="19.5" customHeight="1" x14ac:dyDescent="0.25">
      <c r="B229" s="189" t="str">
        <f>IF(AND(G204="ÁNO",G206="ÁNO",G208="ÁNO",G210="ÁNO",G212="ÁNO",G214="ÁNO",G216="ÁNO",G219="ÁNO",G222="ÁNO",G224="ÁNO",G227="ÁNO"),"","NIE SÚ VYPLNENÉ VŠETKY ČESTNÉ PREHLÁSENIA")</f>
        <v/>
      </c>
      <c r="C229" s="190"/>
      <c r="D229" s="190"/>
      <c r="E229" s="190"/>
      <c r="F229" s="190"/>
      <c r="J229" s="164"/>
    </row>
    <row r="230" spans="2:10" ht="24.95" customHeight="1" thickBot="1" x14ac:dyDescent="0.3">
      <c r="J230" s="164"/>
    </row>
    <row r="231" spans="2:10" x14ac:dyDescent="0.25">
      <c r="B231" s="187"/>
      <c r="J231" s="164"/>
    </row>
    <row r="232" spans="2:10" ht="15.75" thickBot="1" x14ac:dyDescent="0.3">
      <c r="B232" s="188"/>
      <c r="J232" s="164"/>
    </row>
    <row r="233" spans="2:10" x14ac:dyDescent="0.25">
      <c r="J233" s="164"/>
    </row>
    <row r="234" spans="2:10" x14ac:dyDescent="0.25">
      <c r="J234" s="164"/>
    </row>
    <row r="235" spans="2:10" x14ac:dyDescent="0.25">
      <c r="J235" s="164"/>
    </row>
    <row r="236" spans="2:10" x14ac:dyDescent="0.25">
      <c r="J236" s="164"/>
    </row>
    <row r="237" spans="2:10" x14ac:dyDescent="0.25">
      <c r="J237" s="164"/>
    </row>
    <row r="238" spans="2:10" x14ac:dyDescent="0.25">
      <c r="J238" s="164"/>
    </row>
    <row r="239" spans="2:10" x14ac:dyDescent="0.25">
      <c r="J239" s="164"/>
    </row>
  </sheetData>
  <sheetProtection selectLockedCells="1"/>
  <mergeCells count="59">
    <mergeCell ref="B28:C28"/>
    <mergeCell ref="B1:F1"/>
    <mergeCell ref="J6:J23"/>
    <mergeCell ref="B9:F9"/>
    <mergeCell ref="B12:C12"/>
    <mergeCell ref="E12:F12"/>
    <mergeCell ref="B69:F69"/>
    <mergeCell ref="J32:J33"/>
    <mergeCell ref="B33:F33"/>
    <mergeCell ref="B39:F39"/>
    <mergeCell ref="B42:F42"/>
    <mergeCell ref="B45:F45"/>
    <mergeCell ref="B48:F48"/>
    <mergeCell ref="B51:F51"/>
    <mergeCell ref="B54:F54"/>
    <mergeCell ref="B60:C60"/>
    <mergeCell ref="B63:F63"/>
    <mergeCell ref="B66:F66"/>
    <mergeCell ref="B105:F105"/>
    <mergeCell ref="B72:F72"/>
    <mergeCell ref="B75:F75"/>
    <mergeCell ref="J77:J78"/>
    <mergeCell ref="B78:F78"/>
    <mergeCell ref="B81:F81"/>
    <mergeCell ref="B87:C87"/>
    <mergeCell ref="B90:F90"/>
    <mergeCell ref="B93:F93"/>
    <mergeCell ref="B96:F96"/>
    <mergeCell ref="B99:F99"/>
    <mergeCell ref="B102:F102"/>
    <mergeCell ref="B150:C150"/>
    <mergeCell ref="E150:F150"/>
    <mergeCell ref="B108:F108"/>
    <mergeCell ref="B114:C114"/>
    <mergeCell ref="B117:F117"/>
    <mergeCell ref="B120:F120"/>
    <mergeCell ref="B123:F123"/>
    <mergeCell ref="B126:F126"/>
    <mergeCell ref="B129:F129"/>
    <mergeCell ref="B132:F132"/>
    <mergeCell ref="B135:F135"/>
    <mergeCell ref="B144:F144"/>
    <mergeCell ref="B147:F147"/>
    <mergeCell ref="B227:F227"/>
    <mergeCell ref="B229:F229"/>
    <mergeCell ref="J229:J239"/>
    <mergeCell ref="B231:B232"/>
    <mergeCell ref="B202:F202"/>
    <mergeCell ref="J202:J225"/>
    <mergeCell ref="B204:F204"/>
    <mergeCell ref="B206:F206"/>
    <mergeCell ref="B208:F208"/>
    <mergeCell ref="B210:F210"/>
    <mergeCell ref="B212:F212"/>
    <mergeCell ref="B214:F214"/>
    <mergeCell ref="B216:F216"/>
    <mergeCell ref="B219:F219"/>
    <mergeCell ref="B222:F222"/>
    <mergeCell ref="B224:F224"/>
  </mergeCells>
  <dataValidations disablePrompts="1" count="1">
    <dataValidation type="list" allowBlank="1" showInputMessage="1" showErrorMessage="1" prompt="ZVOLIŤ MOŽNOSŤ" sqref="G204 G206 G208 G210 G212 G214 G216 G219 G222 G224 G227">
      <formula1>"Zvoliť možnosť, ÁNO, NIE"</formula1>
    </dataValidation>
  </dataValidations>
  <pageMargins left="0.7" right="0.7" top="0.75" bottom="0.75" header="0.3" footer="0.3"/>
  <pageSetup paperSize="8" scale="81" fitToHeight="0" orientation="landscape"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Okresy!$A$1:$A$79</xm:f>
          </x14:formula1>
          <xm:sqref>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34"/>
  <sheetViews>
    <sheetView topLeftCell="A85" zoomScaleNormal="100" workbookViewId="0">
      <selection activeCell="B96" sqref="B96:F96"/>
    </sheetView>
  </sheetViews>
  <sheetFormatPr defaultColWidth="8.85546875" defaultRowHeight="15" x14ac:dyDescent="0.25"/>
  <cols>
    <col min="2" max="4" width="17.42578125" customWidth="1"/>
    <col min="5" max="5" width="18.42578125" customWidth="1"/>
    <col min="6" max="6" width="17.42578125" customWidth="1"/>
    <col min="7" max="9" width="18.42578125" customWidth="1"/>
    <col min="10" max="10" width="10" bestFit="1" customWidth="1"/>
    <col min="11" max="11" width="10.42578125" bestFit="1" customWidth="1"/>
    <col min="12" max="12" width="9.42578125" bestFit="1" customWidth="1"/>
    <col min="13" max="13" width="123.85546875" customWidth="1"/>
    <col min="18" max="18" width="15" bestFit="1" customWidth="1"/>
  </cols>
  <sheetData>
    <row r="1" spans="1:10" ht="44.45" customHeight="1" thickBot="1" x14ac:dyDescent="0.3">
      <c r="B1" s="165" t="s">
        <v>173</v>
      </c>
      <c r="C1" s="166"/>
      <c r="D1" s="166"/>
      <c r="E1" s="166"/>
      <c r="F1" s="167"/>
      <c r="J1" s="8" t="s">
        <v>14</v>
      </c>
    </row>
    <row r="2" spans="1:10" ht="24.95" customHeight="1" x14ac:dyDescent="0.25"/>
    <row r="3" spans="1:10" ht="18.75" x14ac:dyDescent="0.3">
      <c r="A3" s="11" t="s">
        <v>13</v>
      </c>
      <c r="B3" s="11"/>
      <c r="C3" s="11"/>
    </row>
    <row r="4" spans="1:10" x14ac:dyDescent="0.25">
      <c r="B4" s="1"/>
    </row>
    <row r="5" spans="1:10" ht="15.75" thickBot="1" x14ac:dyDescent="0.3">
      <c r="B5" s="2" t="s">
        <v>0</v>
      </c>
      <c r="D5" t="s">
        <v>16</v>
      </c>
      <c r="F5" t="s">
        <v>20</v>
      </c>
    </row>
    <row r="6" spans="1:10" ht="15" customHeight="1" thickBot="1" x14ac:dyDescent="0.3">
      <c r="B6" s="37">
        <v>36525782</v>
      </c>
      <c r="D6" s="37">
        <v>2020158789</v>
      </c>
      <c r="F6" s="37" t="s">
        <v>152</v>
      </c>
      <c r="J6" s="164"/>
    </row>
    <row r="7" spans="1:10" ht="15" customHeight="1" x14ac:dyDescent="0.25">
      <c r="J7" s="164"/>
    </row>
    <row r="8" spans="1:10" ht="15" customHeight="1" thickBot="1" x14ac:dyDescent="0.3">
      <c r="B8" t="s">
        <v>12</v>
      </c>
      <c r="J8" s="164"/>
    </row>
    <row r="9" spans="1:10" ht="15" customHeight="1" thickBot="1" x14ac:dyDescent="0.3">
      <c r="B9" s="157" t="s">
        <v>153</v>
      </c>
      <c r="C9" s="176"/>
      <c r="D9" s="176"/>
      <c r="E9" s="176"/>
      <c r="F9" s="158"/>
      <c r="J9" s="164"/>
    </row>
    <row r="10" spans="1:10" ht="15" customHeight="1" x14ac:dyDescent="0.25">
      <c r="J10" s="164"/>
    </row>
    <row r="11" spans="1:10" ht="15.75" thickBot="1" x14ac:dyDescent="0.3">
      <c r="B11" t="s">
        <v>1</v>
      </c>
      <c r="E11" t="s">
        <v>171</v>
      </c>
      <c r="J11" s="164"/>
    </row>
    <row r="12" spans="1:10" ht="15.75" thickBot="1" x14ac:dyDescent="0.3">
      <c r="B12" s="157" t="s">
        <v>154</v>
      </c>
      <c r="C12" s="158"/>
      <c r="D12" s="51"/>
      <c r="E12" s="159"/>
      <c r="F12" s="160"/>
      <c r="J12" s="164"/>
    </row>
    <row r="13" spans="1:10" ht="15" customHeight="1" x14ac:dyDescent="0.25">
      <c r="J13" s="164"/>
    </row>
    <row r="14" spans="1:10" x14ac:dyDescent="0.25">
      <c r="B14" t="s">
        <v>2</v>
      </c>
      <c r="J14" s="164"/>
    </row>
    <row r="15" spans="1:10" ht="15.75" thickBot="1" x14ac:dyDescent="0.3">
      <c r="B15" t="s">
        <v>3</v>
      </c>
      <c r="D15" t="s">
        <v>4</v>
      </c>
      <c r="F15" t="s">
        <v>5</v>
      </c>
      <c r="J15" s="164"/>
    </row>
    <row r="16" spans="1:10" ht="15.75" thickBot="1" x14ac:dyDescent="0.3">
      <c r="B16" s="37" t="s">
        <v>155</v>
      </c>
      <c r="D16" s="37">
        <v>55</v>
      </c>
      <c r="F16" s="37"/>
      <c r="J16" s="164"/>
    </row>
    <row r="17" spans="2:10" ht="7.5" customHeight="1" x14ac:dyDescent="0.25">
      <c r="J17" s="164"/>
    </row>
    <row r="18" spans="2:10" ht="15.75" thickBot="1" x14ac:dyDescent="0.3">
      <c r="B18" t="s">
        <v>6</v>
      </c>
      <c r="D18" t="s">
        <v>7</v>
      </c>
      <c r="F18" t="s">
        <v>8</v>
      </c>
      <c r="J18" s="164"/>
    </row>
    <row r="19" spans="2:10" ht="15.75" thickBot="1" x14ac:dyDescent="0.3">
      <c r="B19" s="37" t="s">
        <v>156</v>
      </c>
      <c r="D19" s="38" t="s">
        <v>157</v>
      </c>
      <c r="F19" s="37" t="s">
        <v>59</v>
      </c>
      <c r="J19" s="164"/>
    </row>
    <row r="20" spans="2:10" ht="15" customHeight="1" x14ac:dyDescent="0.25">
      <c r="J20" s="164"/>
    </row>
    <row r="21" spans="2:10" x14ac:dyDescent="0.25">
      <c r="B21" t="s">
        <v>15</v>
      </c>
      <c r="J21" s="164"/>
    </row>
    <row r="22" spans="2:10" ht="15.75" thickBot="1" x14ac:dyDescent="0.3">
      <c r="B22" t="s">
        <v>9</v>
      </c>
      <c r="D22" t="s">
        <v>10</v>
      </c>
      <c r="J22" s="164"/>
    </row>
    <row r="23" spans="2:10" ht="15.75" thickBot="1" x14ac:dyDescent="0.3">
      <c r="B23" s="37" t="s">
        <v>158</v>
      </c>
      <c r="D23" s="37" t="s">
        <v>159</v>
      </c>
      <c r="J23" s="164"/>
    </row>
    <row r="24" spans="2:10" x14ac:dyDescent="0.25">
      <c r="B24" s="6" t="s">
        <v>18</v>
      </c>
      <c r="J24" s="4"/>
    </row>
    <row r="25" spans="2:10" x14ac:dyDescent="0.25">
      <c r="B25" s="6"/>
      <c r="F25" s="3"/>
      <c r="J25" s="4"/>
    </row>
    <row r="26" spans="2:10" x14ac:dyDescent="0.25">
      <c r="B26" s="6"/>
      <c r="F26" s="3"/>
      <c r="J26" s="4"/>
    </row>
    <row r="27" spans="2:10" ht="15.75" thickBot="1" x14ac:dyDescent="0.3">
      <c r="B27" s="7" t="s">
        <v>19</v>
      </c>
      <c r="F27" s="3"/>
      <c r="J27" s="4"/>
    </row>
    <row r="28" spans="2:10" ht="15.75" thickBot="1" x14ac:dyDescent="0.3">
      <c r="B28" s="161" t="s">
        <v>160</v>
      </c>
      <c r="C28" s="162"/>
      <c r="F28" s="3"/>
      <c r="J28" s="4"/>
    </row>
    <row r="29" spans="2:10" x14ac:dyDescent="0.25">
      <c r="F29" s="3"/>
      <c r="J29" s="4"/>
    </row>
    <row r="30" spans="2:10" ht="15" customHeight="1" x14ac:dyDescent="0.25">
      <c r="F30" s="3"/>
      <c r="J30" s="5"/>
    </row>
    <row r="31" spans="2:10" ht="15" customHeight="1" x14ac:dyDescent="0.25"/>
    <row r="32" spans="2:10" ht="15.75" thickBot="1" x14ac:dyDescent="0.3">
      <c r="B32" t="s">
        <v>11</v>
      </c>
      <c r="J32" s="191"/>
    </row>
    <row r="33" spans="1:10" ht="15.75" thickBot="1" x14ac:dyDescent="0.3">
      <c r="B33" s="157" t="s">
        <v>161</v>
      </c>
      <c r="C33" s="176"/>
      <c r="D33" s="176"/>
      <c r="E33" s="176"/>
      <c r="F33" s="158"/>
      <c r="J33" s="191"/>
    </row>
    <row r="34" spans="1:10" x14ac:dyDescent="0.25">
      <c r="J34" s="9"/>
    </row>
    <row r="35" spans="1:10" x14ac:dyDescent="0.25">
      <c r="J35" s="9"/>
    </row>
    <row r="36" spans="1:10" ht="18.75" x14ac:dyDescent="0.3">
      <c r="A36" s="11" t="s">
        <v>177</v>
      </c>
      <c r="B36" s="11"/>
      <c r="C36" s="11"/>
      <c r="D36" s="11"/>
      <c r="E36" s="54"/>
      <c r="F36" s="12"/>
      <c r="G36" s="12"/>
      <c r="H36" s="12"/>
      <c r="I36" s="12"/>
      <c r="J36" s="9"/>
    </row>
    <row r="37" spans="1:10" x14ac:dyDescent="0.25">
      <c r="J37" s="9"/>
    </row>
    <row r="38" spans="1:10" ht="15.75" thickBot="1" x14ac:dyDescent="0.3">
      <c r="B38" s="1" t="s">
        <v>21</v>
      </c>
      <c r="J38" s="9"/>
    </row>
    <row r="39" spans="1:10" ht="15.75" thickBot="1" x14ac:dyDescent="0.3">
      <c r="B39" s="177" t="s">
        <v>163</v>
      </c>
      <c r="C39" s="178"/>
      <c r="D39" s="178"/>
      <c r="E39" s="178"/>
      <c r="F39" s="179"/>
      <c r="J39" s="4"/>
    </row>
    <row r="40" spans="1:10" x14ac:dyDescent="0.25">
      <c r="J40" s="9"/>
    </row>
    <row r="41" spans="1:10" ht="15.75" thickBot="1" x14ac:dyDescent="0.3">
      <c r="B41" s="15" t="s">
        <v>180</v>
      </c>
      <c r="C41" s="16"/>
      <c r="D41" s="16"/>
      <c r="E41" s="16"/>
      <c r="F41" s="16"/>
      <c r="J41" s="9"/>
    </row>
    <row r="42" spans="1:10" ht="15.75" thickBot="1" x14ac:dyDescent="0.3">
      <c r="B42" s="154">
        <v>12792.1</v>
      </c>
      <c r="C42" s="155"/>
      <c r="D42" s="155"/>
      <c r="E42" s="155"/>
      <c r="F42" s="156"/>
      <c r="J42" s="4"/>
    </row>
    <row r="43" spans="1:10" x14ac:dyDescent="0.25">
      <c r="B43" s="16"/>
      <c r="C43" s="16"/>
      <c r="D43" s="16"/>
      <c r="E43" s="16"/>
      <c r="F43" s="16"/>
      <c r="J43" s="9"/>
    </row>
    <row r="44" spans="1:10" ht="15.75" thickBot="1" x14ac:dyDescent="0.3">
      <c r="B44" s="15" t="s">
        <v>181</v>
      </c>
      <c r="C44" s="16"/>
      <c r="D44" s="16"/>
      <c r="E44" s="16"/>
      <c r="F44" s="16"/>
      <c r="J44" s="9"/>
    </row>
    <row r="45" spans="1:10" ht="15.75" thickBot="1" x14ac:dyDescent="0.3">
      <c r="B45" s="180">
        <v>7.3200000000000001E-2</v>
      </c>
      <c r="C45" s="181"/>
      <c r="D45" s="181"/>
      <c r="E45" s="181"/>
      <c r="F45" s="182"/>
      <c r="J45" s="4"/>
    </row>
    <row r="46" spans="1:10" x14ac:dyDescent="0.25">
      <c r="B46" s="16"/>
      <c r="C46" s="16"/>
      <c r="D46" s="16"/>
      <c r="E46" s="16"/>
      <c r="F46" s="16"/>
      <c r="J46" s="9"/>
    </row>
    <row r="47" spans="1:10" ht="15.75" thickBot="1" x14ac:dyDescent="0.3">
      <c r="B47" s="15" t="s">
        <v>182</v>
      </c>
      <c r="C47" s="16"/>
      <c r="D47" s="16"/>
      <c r="E47" s="16"/>
      <c r="F47" s="16"/>
      <c r="J47" s="9"/>
    </row>
    <row r="48" spans="1:10" ht="15.75" thickBot="1" x14ac:dyDescent="0.3">
      <c r="B48" s="180">
        <v>212.34540000000001</v>
      </c>
      <c r="C48" s="181"/>
      <c r="D48" s="181"/>
      <c r="E48" s="181"/>
      <c r="F48" s="182"/>
      <c r="J48" s="4"/>
    </row>
    <row r="49" spans="1:17" x14ac:dyDescent="0.25">
      <c r="B49" s="16"/>
      <c r="C49" s="16"/>
      <c r="D49" s="16"/>
      <c r="E49" s="16"/>
      <c r="F49" s="16"/>
      <c r="J49" s="9"/>
    </row>
    <row r="50" spans="1:17" ht="15.75" thickBot="1" x14ac:dyDescent="0.3">
      <c r="B50" s="15" t="s">
        <v>170</v>
      </c>
      <c r="C50" s="16"/>
      <c r="D50" s="16"/>
      <c r="E50" s="16"/>
      <c r="F50" s="16"/>
      <c r="J50" s="9"/>
    </row>
    <row r="51" spans="1:17" ht="15.75" thickBot="1" x14ac:dyDescent="0.3">
      <c r="B51" s="151">
        <v>64689000</v>
      </c>
      <c r="C51" s="152"/>
      <c r="D51" s="152"/>
      <c r="E51" s="152"/>
      <c r="F51" s="153"/>
      <c r="J51" s="4"/>
    </row>
    <row r="52" spans="1:17" x14ac:dyDescent="0.25">
      <c r="B52" s="16"/>
      <c r="C52" s="16"/>
      <c r="D52" s="16"/>
      <c r="E52" s="16"/>
      <c r="F52" s="16"/>
    </row>
    <row r="53" spans="1:17" ht="15.75" thickBot="1" x14ac:dyDescent="0.3">
      <c r="B53" s="15" t="s">
        <v>183</v>
      </c>
      <c r="C53" s="16"/>
      <c r="D53" s="16"/>
      <c r="E53" s="16"/>
      <c r="F53" s="16"/>
      <c r="J53" s="63"/>
      <c r="K53" s="63"/>
      <c r="L53" s="63"/>
      <c r="M53" s="63"/>
      <c r="N53" s="63"/>
      <c r="O53" s="63"/>
      <c r="P53" s="63"/>
      <c r="Q53" s="63"/>
    </row>
    <row r="54" spans="1:17" ht="15.75" thickBot="1" x14ac:dyDescent="0.3">
      <c r="B54" s="183">
        <f>(B45 + (B48*B42/B51))*1000*1.2</f>
        <v>138.228973544312</v>
      </c>
      <c r="C54" s="184"/>
      <c r="D54" s="184"/>
      <c r="E54" s="184"/>
      <c r="F54" s="185"/>
      <c r="G54" s="14"/>
      <c r="H54" s="14"/>
      <c r="I54" s="14"/>
    </row>
    <row r="55" spans="1:17" x14ac:dyDescent="0.25">
      <c r="B55" s="57"/>
      <c r="C55" s="57"/>
      <c r="D55" s="57"/>
      <c r="E55" s="57"/>
      <c r="F55" s="57"/>
      <c r="G55" s="14"/>
      <c r="H55" s="14"/>
      <c r="I55" s="14"/>
      <c r="J55" s="9"/>
    </row>
    <row r="56" spans="1:17" x14ac:dyDescent="0.25">
      <c r="B56" s="16"/>
      <c r="C56" s="16"/>
      <c r="D56" s="16"/>
      <c r="E56" s="16"/>
      <c r="F56" s="16"/>
      <c r="J56" s="9"/>
    </row>
    <row r="57" spans="1:17" ht="18.75" x14ac:dyDescent="0.3">
      <c r="A57" s="11" t="s">
        <v>176</v>
      </c>
      <c r="B57" s="17"/>
      <c r="C57" s="17"/>
      <c r="D57" s="17"/>
      <c r="E57" s="18"/>
      <c r="F57" s="19"/>
      <c r="J57" s="9"/>
    </row>
    <row r="58" spans="1:17" x14ac:dyDescent="0.25">
      <c r="B58" s="16"/>
      <c r="C58" s="16"/>
      <c r="D58" s="16"/>
      <c r="E58" s="16"/>
      <c r="F58" s="16"/>
      <c r="J58" s="9"/>
    </row>
    <row r="59" spans="1:17" ht="16.5" thickBot="1" x14ac:dyDescent="0.3">
      <c r="A59" s="52"/>
      <c r="B59" s="48" t="s">
        <v>21</v>
      </c>
      <c r="C59" s="49"/>
      <c r="D59" s="49"/>
      <c r="E59" s="48" t="s">
        <v>168</v>
      </c>
      <c r="F59" s="48" t="s">
        <v>169</v>
      </c>
      <c r="J59" s="9"/>
    </row>
    <row r="60" spans="1:17" ht="15.75" thickBot="1" x14ac:dyDescent="0.3">
      <c r="B60" s="172" t="s">
        <v>162</v>
      </c>
      <c r="C60" s="173"/>
      <c r="D60" s="45"/>
      <c r="E60" s="58">
        <v>45292</v>
      </c>
      <c r="F60" s="59">
        <v>45443</v>
      </c>
      <c r="J60" s="4"/>
    </row>
    <row r="61" spans="1:17" x14ac:dyDescent="0.25">
      <c r="B61" s="16"/>
      <c r="C61" s="16"/>
      <c r="D61" s="16"/>
      <c r="E61" s="16"/>
      <c r="F61" s="16"/>
      <c r="J61" s="9"/>
    </row>
    <row r="62" spans="1:17" ht="15.75" thickBot="1" x14ac:dyDescent="0.3">
      <c r="B62" s="15" t="s">
        <v>180</v>
      </c>
      <c r="C62" s="16"/>
      <c r="D62" s="16"/>
      <c r="E62" s="16"/>
      <c r="F62" s="16"/>
      <c r="J62" s="9"/>
    </row>
    <row r="63" spans="1:17" ht="15.75" thickBot="1" x14ac:dyDescent="0.3">
      <c r="B63" s="154">
        <v>12018.39</v>
      </c>
      <c r="C63" s="155"/>
      <c r="D63" s="155"/>
      <c r="E63" s="155"/>
      <c r="F63" s="156"/>
      <c r="J63" s="4"/>
    </row>
    <row r="64" spans="1:17" ht="7.5" customHeight="1" x14ac:dyDescent="0.25">
      <c r="B64" s="16"/>
      <c r="C64" s="16"/>
      <c r="D64" s="16"/>
      <c r="E64" s="16"/>
      <c r="F64" s="16"/>
      <c r="J64" s="9"/>
    </row>
    <row r="65" spans="2:10" ht="15.75" thickBot="1" x14ac:dyDescent="0.3">
      <c r="B65" s="15" t="s">
        <v>181</v>
      </c>
      <c r="C65" s="16"/>
      <c r="D65" s="16"/>
      <c r="E65" s="16"/>
      <c r="F65" s="16"/>
      <c r="J65" s="9"/>
    </row>
    <row r="66" spans="2:10" ht="21" customHeight="1" thickBot="1" x14ac:dyDescent="0.3">
      <c r="B66" s="154">
        <v>0.12559999999999999</v>
      </c>
      <c r="C66" s="155"/>
      <c r="D66" s="155"/>
      <c r="E66" s="155"/>
      <c r="F66" s="156"/>
      <c r="J66" s="4"/>
    </row>
    <row r="67" spans="2:10" ht="16.5" customHeight="1" x14ac:dyDescent="0.25">
      <c r="B67" s="16"/>
      <c r="C67" s="16"/>
      <c r="D67" s="16"/>
      <c r="E67" s="16"/>
      <c r="F67" s="16"/>
      <c r="J67" s="9"/>
    </row>
    <row r="68" spans="2:10" ht="15.75" thickBot="1" x14ac:dyDescent="0.3">
      <c r="B68" s="15" t="s">
        <v>182</v>
      </c>
      <c r="C68" s="16"/>
      <c r="D68" s="16"/>
      <c r="E68" s="16"/>
      <c r="F68" s="16"/>
      <c r="J68" s="9"/>
    </row>
    <row r="69" spans="2:10" ht="15.75" thickBot="1" x14ac:dyDescent="0.3">
      <c r="B69" s="154">
        <v>244.70760000000001</v>
      </c>
      <c r="C69" s="155"/>
      <c r="D69" s="155"/>
      <c r="E69" s="155"/>
      <c r="F69" s="156"/>
      <c r="J69" s="4"/>
    </row>
    <row r="70" spans="2:10" ht="8.25" customHeight="1" x14ac:dyDescent="0.25">
      <c r="B70" s="16"/>
      <c r="C70" s="16"/>
      <c r="D70" s="16"/>
      <c r="E70" s="16"/>
      <c r="F70" s="16"/>
      <c r="J70" s="9"/>
    </row>
    <row r="71" spans="2:10" ht="15.75" thickBot="1" x14ac:dyDescent="0.3">
      <c r="B71" s="15" t="s">
        <v>172</v>
      </c>
      <c r="C71" s="16"/>
      <c r="D71" s="16"/>
      <c r="E71" s="16"/>
      <c r="F71" s="16"/>
      <c r="J71" s="9"/>
    </row>
    <row r="72" spans="2:10" ht="15.75" thickBot="1" x14ac:dyDescent="0.3">
      <c r="B72" s="151">
        <v>63981000</v>
      </c>
      <c r="C72" s="152"/>
      <c r="D72" s="152"/>
      <c r="E72" s="152"/>
      <c r="F72" s="153"/>
      <c r="J72" s="4"/>
    </row>
    <row r="73" spans="2:10" ht="7.5" customHeight="1" x14ac:dyDescent="0.25">
      <c r="B73" s="47"/>
      <c r="C73" s="47"/>
      <c r="D73" s="47"/>
      <c r="E73" s="47"/>
      <c r="F73" s="47"/>
      <c r="J73" s="4"/>
    </row>
    <row r="74" spans="2:10" ht="15.75" thickBot="1" x14ac:dyDescent="0.3">
      <c r="B74" s="15" t="s">
        <v>184</v>
      </c>
      <c r="C74" s="16"/>
      <c r="D74" s="16"/>
      <c r="E74" s="16"/>
      <c r="F74" s="16"/>
      <c r="J74" s="4"/>
    </row>
    <row r="75" spans="2:10" ht="15.75" customHeight="1" thickBot="1" x14ac:dyDescent="0.3">
      <c r="B75" s="154">
        <v>57989520</v>
      </c>
      <c r="C75" s="155"/>
      <c r="D75" s="155"/>
      <c r="E75" s="155"/>
      <c r="F75" s="156"/>
      <c r="J75" s="9"/>
    </row>
    <row r="76" spans="2:10" ht="9.75" customHeight="1" x14ac:dyDescent="0.25">
      <c r="B76" s="50"/>
      <c r="C76" s="50"/>
      <c r="D76" s="50"/>
      <c r="E76" s="50"/>
      <c r="F76" s="50"/>
      <c r="J76" s="9"/>
    </row>
    <row r="77" spans="2:10" ht="15.75" customHeight="1" thickBot="1" x14ac:dyDescent="0.3">
      <c r="B77" s="15" t="s">
        <v>185</v>
      </c>
      <c r="C77" s="16"/>
      <c r="D77" s="16"/>
      <c r="E77" s="16"/>
      <c r="F77" s="16"/>
      <c r="J77" s="191"/>
    </row>
    <row r="78" spans="2:10" ht="15.75" customHeight="1" thickBot="1" x14ac:dyDescent="0.3">
      <c r="B78" s="163">
        <f xml:space="preserve"> (B66 + (B69*B63/B72))*1000*1.2</f>
        <v>205.87996385359403</v>
      </c>
      <c r="C78" s="149"/>
      <c r="D78" s="149"/>
      <c r="E78" s="149"/>
      <c r="F78" s="150"/>
      <c r="G78" s="14"/>
      <c r="H78" s="14"/>
      <c r="I78" s="14"/>
      <c r="J78" s="191"/>
    </row>
    <row r="79" spans="2:10" ht="7.5" customHeight="1" x14ac:dyDescent="0.25">
      <c r="B79" s="46"/>
      <c r="C79" s="46"/>
      <c r="D79" s="46"/>
      <c r="E79" s="46"/>
      <c r="F79" s="46"/>
      <c r="G79" s="14"/>
      <c r="H79" s="14"/>
      <c r="I79" s="14"/>
      <c r="J79" s="9"/>
    </row>
    <row r="80" spans="2:10" ht="15.75" customHeight="1" thickBot="1" x14ac:dyDescent="0.3">
      <c r="B80" s="15" t="s">
        <v>186</v>
      </c>
      <c r="C80" s="15"/>
      <c r="D80" s="15"/>
      <c r="E80" s="15"/>
      <c r="F80" s="15"/>
      <c r="G80" s="14"/>
      <c r="H80" s="14"/>
      <c r="I80" s="14"/>
      <c r="J80" s="9"/>
    </row>
    <row r="81" spans="1:10" ht="16.5" customHeight="1" thickBot="1" x14ac:dyDescent="0.3">
      <c r="A81" s="15"/>
      <c r="B81" s="163">
        <f>B144/1.2/1000-(B69*B63)/B72</f>
        <v>8.5890841408931634E-2</v>
      </c>
      <c r="C81" s="149"/>
      <c r="D81" s="149"/>
      <c r="E81" s="149"/>
      <c r="F81" s="150"/>
      <c r="G81" s="14"/>
      <c r="H81" s="14"/>
      <c r="I81" s="14"/>
      <c r="J81" s="9"/>
    </row>
    <row r="82" spans="1:10" ht="8.25" customHeight="1" x14ac:dyDescent="0.25">
      <c r="A82" s="15"/>
      <c r="B82" s="15"/>
      <c r="C82" s="46"/>
      <c r="D82" s="46"/>
      <c r="E82" s="46"/>
      <c r="F82" s="46"/>
      <c r="G82" s="14"/>
      <c r="H82" s="14"/>
      <c r="I82" s="14"/>
      <c r="J82" s="9"/>
    </row>
    <row r="83" spans="1:10" ht="16.5" customHeight="1" thickBot="1" x14ac:dyDescent="0.3">
      <c r="A83" s="15"/>
      <c r="B83" s="15" t="s">
        <v>179</v>
      </c>
      <c r="C83" s="46"/>
      <c r="D83" s="46"/>
      <c r="E83" s="46"/>
      <c r="F83" s="46"/>
      <c r="G83" s="14"/>
      <c r="H83" s="14"/>
      <c r="I83" s="14"/>
      <c r="J83" s="9"/>
    </row>
    <row r="84" spans="1:10" s="81" customFormat="1" ht="16.5" customHeight="1" thickBot="1" x14ac:dyDescent="0.3">
      <c r="B84" s="82">
        <f>(MIN(B78-B144)*B75/1000 ) * SUMIFS(Hárok2!$C$2:$C$13, Hárok2!$B$2:$B$13, "&gt;=" &amp; MONTH(DATEVALUE(TEXT(E60, "mmmm") &amp; " 1")), Hárok2!$B$2:$B$13, "&lt;=" &amp; MONTH(DATEVALUE(TEXT(F60, "mmmm") &amp; " 1")))</f>
        <v>1577820.3497247123</v>
      </c>
      <c r="C84" s="83"/>
      <c r="D84" s="83"/>
      <c r="E84" s="83"/>
      <c r="F84" s="84"/>
      <c r="G84" s="85"/>
      <c r="H84" s="85"/>
      <c r="I84" s="85"/>
      <c r="J84" s="86"/>
    </row>
    <row r="85" spans="1:10" ht="27" customHeight="1" x14ac:dyDescent="0.25">
      <c r="B85" s="46"/>
      <c r="C85" s="46"/>
      <c r="D85" s="46"/>
      <c r="E85" s="46"/>
      <c r="F85" s="46"/>
      <c r="G85" s="63"/>
      <c r="H85" s="63"/>
      <c r="I85" s="63"/>
      <c r="J85" s="9"/>
    </row>
    <row r="86" spans="1:10" ht="15.75" customHeight="1" thickBot="1" x14ac:dyDescent="0.3">
      <c r="A86" s="52"/>
      <c r="B86" s="48" t="s">
        <v>21</v>
      </c>
      <c r="C86" s="49"/>
      <c r="D86" s="49"/>
      <c r="E86" s="48" t="s">
        <v>168</v>
      </c>
      <c r="F86" s="48" t="s">
        <v>169</v>
      </c>
      <c r="G86" s="14"/>
      <c r="H86" s="14"/>
      <c r="I86" s="14"/>
      <c r="J86" s="9"/>
    </row>
    <row r="87" spans="1:10" ht="15.75" customHeight="1" thickBot="1" x14ac:dyDescent="0.3">
      <c r="B87" s="172" t="s">
        <v>162</v>
      </c>
      <c r="C87" s="173"/>
      <c r="D87" s="45"/>
      <c r="E87" s="58">
        <v>45444</v>
      </c>
      <c r="F87" s="59">
        <v>45657</v>
      </c>
      <c r="G87" s="14"/>
      <c r="H87" s="14"/>
      <c r="I87" s="14"/>
      <c r="J87" s="9"/>
    </row>
    <row r="88" spans="1:10" ht="9.75" customHeight="1" x14ac:dyDescent="0.25">
      <c r="B88" s="16"/>
      <c r="C88" s="16"/>
      <c r="D88" s="16"/>
      <c r="E88" s="16"/>
      <c r="F88" s="16"/>
      <c r="G88" s="14"/>
      <c r="H88" s="14"/>
      <c r="I88" s="14"/>
      <c r="J88" s="9"/>
    </row>
    <row r="89" spans="1:10" ht="15.75" customHeight="1" thickBot="1" x14ac:dyDescent="0.3">
      <c r="B89" s="15" t="s">
        <v>180</v>
      </c>
      <c r="C89" s="16"/>
      <c r="D89" s="16"/>
      <c r="E89" s="16"/>
      <c r="F89" s="16"/>
      <c r="G89" s="14"/>
      <c r="H89" s="14"/>
      <c r="I89" s="14"/>
      <c r="J89" s="9"/>
    </row>
    <row r="90" spans="1:10" ht="15.75" customHeight="1" thickBot="1" x14ac:dyDescent="0.3">
      <c r="B90" s="154">
        <v>12018.39</v>
      </c>
      <c r="C90" s="155"/>
      <c r="D90" s="155"/>
      <c r="E90" s="155"/>
      <c r="F90" s="156"/>
      <c r="G90" s="14"/>
      <c r="H90" s="14"/>
      <c r="I90" s="14"/>
      <c r="J90" s="9"/>
    </row>
    <row r="91" spans="1:10" ht="10.5" customHeight="1" x14ac:dyDescent="0.25">
      <c r="B91" s="16"/>
      <c r="C91" s="16"/>
      <c r="D91" s="16"/>
      <c r="E91" s="16"/>
      <c r="F91" s="16"/>
      <c r="G91" s="14"/>
      <c r="H91" s="14"/>
      <c r="I91" s="14"/>
      <c r="J91" s="9"/>
    </row>
    <row r="92" spans="1:10" ht="15.75" customHeight="1" thickBot="1" x14ac:dyDescent="0.3">
      <c r="B92" s="15" t="s">
        <v>181</v>
      </c>
      <c r="C92" s="16"/>
      <c r="D92" s="16"/>
      <c r="E92" s="16"/>
      <c r="F92" s="16"/>
      <c r="G92" s="14"/>
      <c r="H92" s="14"/>
      <c r="I92" s="14"/>
      <c r="J92" s="9"/>
    </row>
    <row r="93" spans="1:10" ht="15.75" customHeight="1" thickBot="1" x14ac:dyDescent="0.3">
      <c r="B93" s="154">
        <v>0.12559999999999999</v>
      </c>
      <c r="C93" s="155"/>
      <c r="D93" s="155"/>
      <c r="E93" s="155"/>
      <c r="F93" s="156"/>
      <c r="G93" s="14"/>
      <c r="H93" s="14"/>
      <c r="I93" s="14"/>
      <c r="J93" s="9"/>
    </row>
    <row r="94" spans="1:10" ht="9.75" customHeight="1" x14ac:dyDescent="0.25">
      <c r="B94" s="16"/>
      <c r="C94" s="16"/>
      <c r="D94" s="16"/>
      <c r="E94" s="16"/>
      <c r="F94" s="16"/>
      <c r="G94" s="14"/>
      <c r="H94" s="14"/>
      <c r="I94" s="14"/>
      <c r="J94" s="9"/>
    </row>
    <row r="95" spans="1:10" ht="15.75" customHeight="1" thickBot="1" x14ac:dyDescent="0.3">
      <c r="B95" s="15" t="s">
        <v>182</v>
      </c>
      <c r="C95" s="16"/>
      <c r="D95" s="16"/>
      <c r="E95" s="16"/>
      <c r="F95" s="16"/>
      <c r="G95" s="14"/>
      <c r="H95" s="14"/>
      <c r="I95" s="14"/>
      <c r="J95" s="9"/>
    </row>
    <row r="96" spans="1:10" ht="15.75" customHeight="1" thickBot="1" x14ac:dyDescent="0.3">
      <c r="B96" s="154">
        <v>344.70760000000001</v>
      </c>
      <c r="C96" s="155"/>
      <c r="D96" s="155"/>
      <c r="E96" s="155"/>
      <c r="F96" s="156"/>
      <c r="G96" s="14"/>
      <c r="H96" s="14"/>
      <c r="I96" s="14"/>
      <c r="J96" s="9"/>
    </row>
    <row r="97" spans="2:10" ht="9.75" customHeight="1" x14ac:dyDescent="0.25">
      <c r="B97" s="16"/>
      <c r="C97" s="16"/>
      <c r="D97" s="16"/>
      <c r="E97" s="16"/>
      <c r="F97" s="16"/>
      <c r="G97" s="14"/>
      <c r="H97" s="14"/>
      <c r="I97" s="14"/>
      <c r="J97" s="9"/>
    </row>
    <row r="98" spans="2:10" ht="15.75" customHeight="1" thickBot="1" x14ac:dyDescent="0.3">
      <c r="B98" s="15" t="s">
        <v>172</v>
      </c>
      <c r="C98" s="16"/>
      <c r="D98" s="16"/>
      <c r="E98" s="16"/>
      <c r="F98" s="16"/>
      <c r="G98" s="14"/>
      <c r="H98" s="14"/>
      <c r="I98" s="14"/>
      <c r="J98" s="9"/>
    </row>
    <row r="99" spans="2:10" ht="15.75" customHeight="1" thickBot="1" x14ac:dyDescent="0.3">
      <c r="B99" s="151">
        <v>63981000</v>
      </c>
      <c r="C99" s="152"/>
      <c r="D99" s="152"/>
      <c r="E99" s="152"/>
      <c r="F99" s="153"/>
      <c r="G99" s="14"/>
      <c r="H99" s="14"/>
      <c r="I99" s="14"/>
      <c r="J99" s="9"/>
    </row>
    <row r="100" spans="2:10" ht="9.75" customHeight="1" x14ac:dyDescent="0.25">
      <c r="B100" s="47"/>
      <c r="C100" s="47"/>
      <c r="D100" s="47"/>
      <c r="E100" s="47"/>
      <c r="F100" s="47"/>
      <c r="G100" s="14"/>
      <c r="H100" s="14"/>
      <c r="I100" s="14"/>
      <c r="J100" s="9"/>
    </row>
    <row r="101" spans="2:10" ht="15.75" customHeight="1" thickBot="1" x14ac:dyDescent="0.3">
      <c r="B101" s="15" t="s">
        <v>184</v>
      </c>
      <c r="C101" s="16"/>
      <c r="D101" s="16"/>
      <c r="E101" s="16"/>
      <c r="F101" s="16"/>
      <c r="G101" s="14"/>
      <c r="H101" s="14"/>
      <c r="I101" s="14"/>
      <c r="J101" s="9"/>
    </row>
    <row r="102" spans="2:10" ht="15.75" customHeight="1" thickBot="1" x14ac:dyDescent="0.3">
      <c r="B102" s="154">
        <v>57989520</v>
      </c>
      <c r="C102" s="155"/>
      <c r="D102" s="155"/>
      <c r="E102" s="155"/>
      <c r="F102" s="156"/>
      <c r="G102" s="14"/>
      <c r="H102" s="14"/>
      <c r="I102" s="14"/>
      <c r="J102" s="9"/>
    </row>
    <row r="103" spans="2:10" ht="11.25" customHeight="1" x14ac:dyDescent="0.25">
      <c r="B103" s="50"/>
      <c r="C103" s="50"/>
      <c r="D103" s="50"/>
      <c r="E103" s="50"/>
      <c r="F103" s="50"/>
      <c r="G103" s="14"/>
      <c r="H103" s="14"/>
      <c r="I103" s="14"/>
      <c r="J103" s="9"/>
    </row>
    <row r="104" spans="2:10" ht="15.75" customHeight="1" thickBot="1" x14ac:dyDescent="0.3">
      <c r="B104" s="15" t="s">
        <v>185</v>
      </c>
      <c r="C104" s="16"/>
      <c r="D104" s="16"/>
      <c r="E104" s="16"/>
      <c r="F104" s="16"/>
      <c r="G104" s="14"/>
      <c r="H104" s="14"/>
      <c r="I104" s="14"/>
      <c r="J104" s="9"/>
    </row>
    <row r="105" spans="2:10" ht="15.75" customHeight="1" thickBot="1" x14ac:dyDescent="0.3">
      <c r="B105" s="163">
        <f xml:space="preserve"> (B93 + (B96*B90/B99))*1000*1.2</f>
        <v>228.42113701437611</v>
      </c>
      <c r="C105" s="149"/>
      <c r="D105" s="149"/>
      <c r="E105" s="149"/>
      <c r="F105" s="150"/>
      <c r="G105" s="14"/>
      <c r="H105" s="14"/>
      <c r="I105" s="14"/>
      <c r="J105" s="9"/>
    </row>
    <row r="106" spans="2:10" ht="9" customHeight="1" x14ac:dyDescent="0.25">
      <c r="B106" s="46"/>
      <c r="C106" s="46"/>
      <c r="D106" s="46"/>
      <c r="E106" s="46"/>
      <c r="F106" s="46"/>
      <c r="G106" s="14"/>
      <c r="H106" s="14"/>
      <c r="I106" s="14"/>
      <c r="J106" s="9"/>
    </row>
    <row r="107" spans="2:10" ht="20.100000000000001" customHeight="1" thickBot="1" x14ac:dyDescent="0.3">
      <c r="B107" s="15" t="s">
        <v>186</v>
      </c>
      <c r="C107" s="15"/>
      <c r="D107" s="15"/>
      <c r="E107" s="15"/>
      <c r="F107" s="15"/>
      <c r="G107" s="14"/>
      <c r="H107" s="14"/>
      <c r="I107" s="14"/>
      <c r="J107" s="9"/>
    </row>
    <row r="108" spans="2:10" ht="15" customHeight="1" thickBot="1" x14ac:dyDescent="0.3">
      <c r="B108" s="163">
        <f>B144/1.2/1000-(B90*B96)/B99</f>
        <v>6.710653044161323E-2</v>
      </c>
      <c r="C108" s="149"/>
      <c r="D108" s="149"/>
      <c r="E108" s="149"/>
      <c r="F108" s="150"/>
      <c r="G108" s="14"/>
      <c r="H108" s="14"/>
      <c r="I108" s="14"/>
      <c r="J108" s="9"/>
    </row>
    <row r="109" spans="2:10" ht="9" customHeight="1" x14ac:dyDescent="0.25">
      <c r="B109" s="15"/>
      <c r="C109" s="46"/>
      <c r="D109" s="46"/>
      <c r="E109" s="46"/>
      <c r="F109" s="46"/>
      <c r="G109" s="14"/>
      <c r="H109" s="14"/>
      <c r="I109" s="14"/>
      <c r="J109" s="9"/>
    </row>
    <row r="110" spans="2:10" ht="20.100000000000001" customHeight="1" thickBot="1" x14ac:dyDescent="0.3">
      <c r="B110" s="15" t="s">
        <v>179</v>
      </c>
      <c r="C110" s="46"/>
      <c r="D110" s="46"/>
      <c r="E110" s="46"/>
      <c r="F110" s="46"/>
      <c r="G110" s="14"/>
      <c r="H110" s="14"/>
      <c r="I110" s="14"/>
      <c r="J110" s="9"/>
    </row>
    <row r="111" spans="2:10" ht="15" customHeight="1" thickBot="1" x14ac:dyDescent="0.3">
      <c r="B111" s="62">
        <f>(MIN(B105-B144)*B102/1000 ) * SUMIFS(Hárok2!$C$2:$C$13, Hárok2!$B$2:$B$13, "&gt;=" &amp; MONTH(DATEVALUE(TEXT(E87, "mmmm") &amp; " 1")), Hárok2!$B$2:$B$13, "&lt;=" &amp; MONTH(DATEVALUE(TEXT(F87, "mmmm") &amp; " 1")))</f>
        <v>1746205.8331105472</v>
      </c>
      <c r="C111" s="60"/>
      <c r="D111" s="60"/>
      <c r="E111" s="60"/>
      <c r="F111" s="61"/>
      <c r="G111" s="14"/>
      <c r="H111" s="14"/>
      <c r="I111" s="14"/>
      <c r="J111" s="9"/>
    </row>
    <row r="112" spans="2:10" ht="28.5" customHeight="1" x14ac:dyDescent="0.25">
      <c r="B112" s="46"/>
      <c r="C112" s="46"/>
      <c r="D112" s="46"/>
      <c r="E112" s="46"/>
      <c r="F112" s="46"/>
      <c r="G112" s="14"/>
      <c r="H112" s="14"/>
      <c r="I112" s="14"/>
      <c r="J112" s="9"/>
    </row>
    <row r="113" spans="1:10" ht="15.75" customHeight="1" thickBot="1" x14ac:dyDescent="0.3">
      <c r="A113" s="52"/>
      <c r="B113" s="48" t="s">
        <v>21</v>
      </c>
      <c r="C113" s="49"/>
      <c r="D113" s="49"/>
      <c r="E113" s="48" t="s">
        <v>168</v>
      </c>
      <c r="F113" s="48" t="s">
        <v>169</v>
      </c>
      <c r="G113" s="14"/>
      <c r="H113" s="14"/>
      <c r="I113" s="14"/>
      <c r="J113" s="9"/>
    </row>
    <row r="114" spans="1:10" ht="15.75" customHeight="1" thickBot="1" x14ac:dyDescent="0.3">
      <c r="B114" s="172"/>
      <c r="C114" s="173"/>
      <c r="D114" s="45"/>
      <c r="E114" s="58"/>
      <c r="F114" s="59"/>
      <c r="G114" s="14"/>
      <c r="H114" s="14"/>
      <c r="I114" s="14"/>
      <c r="J114" s="9"/>
    </row>
    <row r="115" spans="1:10" ht="9.75" customHeight="1" x14ac:dyDescent="0.25">
      <c r="B115" s="16"/>
      <c r="C115" s="16"/>
      <c r="D115" s="16"/>
      <c r="E115" s="16"/>
      <c r="F115" s="16"/>
      <c r="G115" s="14"/>
      <c r="H115" s="14"/>
      <c r="I115" s="14"/>
      <c r="J115" s="9"/>
    </row>
    <row r="116" spans="1:10" ht="15.75" customHeight="1" thickBot="1" x14ac:dyDescent="0.3">
      <c r="B116" s="15" t="s">
        <v>180</v>
      </c>
      <c r="C116" s="16"/>
      <c r="D116" s="16"/>
      <c r="E116" s="16"/>
      <c r="F116" s="16"/>
      <c r="G116" s="14"/>
      <c r="H116" s="14"/>
      <c r="I116" s="14"/>
      <c r="J116" s="9"/>
    </row>
    <row r="117" spans="1:10" ht="15.75" customHeight="1" thickBot="1" x14ac:dyDescent="0.3">
      <c r="B117" s="154"/>
      <c r="C117" s="155"/>
      <c r="D117" s="155"/>
      <c r="E117" s="155"/>
      <c r="F117" s="156"/>
      <c r="G117" s="14"/>
      <c r="H117" s="14"/>
      <c r="I117" s="14"/>
      <c r="J117" s="9"/>
    </row>
    <row r="118" spans="1:10" ht="6.75" customHeight="1" x14ac:dyDescent="0.25">
      <c r="B118" s="16"/>
      <c r="C118" s="16"/>
      <c r="D118" s="16"/>
      <c r="E118" s="16"/>
      <c r="F118" s="16"/>
      <c r="G118" s="14"/>
      <c r="H118" s="14"/>
      <c r="I118" s="14"/>
      <c r="J118" s="9"/>
    </row>
    <row r="119" spans="1:10" ht="15.75" customHeight="1" thickBot="1" x14ac:dyDescent="0.3">
      <c r="B119" s="15" t="s">
        <v>181</v>
      </c>
      <c r="C119" s="16"/>
      <c r="D119" s="16"/>
      <c r="E119" s="16"/>
      <c r="F119" s="16"/>
      <c r="G119" s="14"/>
      <c r="H119" s="14"/>
      <c r="I119" s="14"/>
      <c r="J119" s="9"/>
    </row>
    <row r="120" spans="1:10" ht="15.75" customHeight="1" thickBot="1" x14ac:dyDescent="0.3">
      <c r="B120" s="154"/>
      <c r="C120" s="155"/>
      <c r="D120" s="155"/>
      <c r="E120" s="155"/>
      <c r="F120" s="156"/>
      <c r="G120" s="14"/>
      <c r="H120" s="14"/>
      <c r="I120" s="14"/>
      <c r="J120" s="9"/>
    </row>
    <row r="121" spans="1:10" ht="6" customHeight="1" x14ac:dyDescent="0.25">
      <c r="B121" s="16"/>
      <c r="C121" s="16"/>
      <c r="D121" s="16"/>
      <c r="E121" s="16"/>
      <c r="F121" s="16"/>
      <c r="G121" s="14"/>
      <c r="H121" s="14"/>
      <c r="I121" s="14"/>
      <c r="J121" s="9"/>
    </row>
    <row r="122" spans="1:10" ht="15.75" customHeight="1" thickBot="1" x14ac:dyDescent="0.3">
      <c r="B122" s="15" t="s">
        <v>182</v>
      </c>
      <c r="C122" s="16"/>
      <c r="D122" s="16"/>
      <c r="E122" s="16"/>
      <c r="F122" s="16"/>
      <c r="G122" s="14"/>
      <c r="H122" s="14"/>
      <c r="I122" s="14"/>
      <c r="J122" s="9"/>
    </row>
    <row r="123" spans="1:10" ht="15.75" customHeight="1" thickBot="1" x14ac:dyDescent="0.3">
      <c r="B123" s="154"/>
      <c r="C123" s="155"/>
      <c r="D123" s="155"/>
      <c r="E123" s="155"/>
      <c r="F123" s="156"/>
      <c r="G123" s="14"/>
      <c r="H123" s="14"/>
      <c r="I123" s="14"/>
      <c r="J123" s="9"/>
    </row>
    <row r="124" spans="1:10" ht="9" customHeight="1" x14ac:dyDescent="0.25">
      <c r="B124" s="16"/>
      <c r="C124" s="16"/>
      <c r="D124" s="16"/>
      <c r="E124" s="16"/>
      <c r="F124" s="16"/>
      <c r="G124" s="14"/>
      <c r="H124" s="14"/>
      <c r="I124" s="14"/>
      <c r="J124" s="9"/>
    </row>
    <row r="125" spans="1:10" ht="15.75" customHeight="1" thickBot="1" x14ac:dyDescent="0.3">
      <c r="B125" s="15" t="s">
        <v>172</v>
      </c>
      <c r="C125" s="16"/>
      <c r="D125" s="16"/>
      <c r="E125" s="16"/>
      <c r="F125" s="16"/>
      <c r="G125" s="14"/>
      <c r="H125" s="14"/>
      <c r="I125" s="14"/>
      <c r="J125" s="9"/>
    </row>
    <row r="126" spans="1:10" ht="15.75" customHeight="1" thickBot="1" x14ac:dyDescent="0.3">
      <c r="B126" s="151"/>
      <c r="C126" s="152"/>
      <c r="D126" s="152"/>
      <c r="E126" s="152"/>
      <c r="F126" s="153"/>
      <c r="G126" s="14"/>
      <c r="H126" s="14"/>
      <c r="I126" s="14"/>
      <c r="J126" s="9"/>
    </row>
    <row r="127" spans="1:10" ht="15.75" customHeight="1" x14ac:dyDescent="0.25">
      <c r="B127" s="47"/>
      <c r="C127" s="47"/>
      <c r="D127" s="47"/>
      <c r="E127" s="47"/>
      <c r="F127" s="47"/>
      <c r="G127" s="14"/>
      <c r="H127" s="14"/>
      <c r="I127" s="14"/>
      <c r="J127" s="9"/>
    </row>
    <row r="128" spans="1:10" ht="15.75" customHeight="1" thickBot="1" x14ac:dyDescent="0.3">
      <c r="B128" s="15" t="s">
        <v>184</v>
      </c>
      <c r="C128" s="16"/>
      <c r="D128" s="16"/>
      <c r="E128" s="16"/>
      <c r="F128" s="16"/>
      <c r="G128" s="14"/>
      <c r="H128" s="14"/>
      <c r="I128" s="14"/>
      <c r="J128" s="9"/>
    </row>
    <row r="129" spans="1:18" ht="15.75" customHeight="1" thickBot="1" x14ac:dyDescent="0.3">
      <c r="B129" s="154"/>
      <c r="C129" s="155"/>
      <c r="D129" s="155"/>
      <c r="E129" s="155"/>
      <c r="F129" s="156"/>
      <c r="G129" s="14"/>
      <c r="H129" s="14"/>
      <c r="I129" s="14"/>
      <c r="J129" s="9"/>
    </row>
    <row r="130" spans="1:18" ht="15.75" customHeight="1" x14ac:dyDescent="0.25">
      <c r="B130" s="50"/>
      <c r="C130" s="50"/>
      <c r="D130" s="50"/>
      <c r="E130" s="50"/>
      <c r="F130" s="50"/>
      <c r="G130" s="14"/>
      <c r="H130" s="14"/>
      <c r="I130" s="14"/>
      <c r="J130" s="9"/>
    </row>
    <row r="131" spans="1:18" ht="15.75" customHeight="1" thickBot="1" x14ac:dyDescent="0.3">
      <c r="B131" s="15" t="s">
        <v>185</v>
      </c>
      <c r="C131" s="16"/>
      <c r="D131" s="16"/>
      <c r="E131" s="16"/>
      <c r="F131" s="16"/>
      <c r="G131" s="14"/>
      <c r="H131" s="14"/>
      <c r="I131" s="14"/>
      <c r="J131" s="9"/>
    </row>
    <row r="132" spans="1:18" ht="15.75" customHeight="1" thickBot="1" x14ac:dyDescent="0.3">
      <c r="B132" s="163">
        <f>IFERROR((B120 + (B123*B117/B126))*1000*1.2,0)</f>
        <v>0</v>
      </c>
      <c r="C132" s="149"/>
      <c r="D132" s="149"/>
      <c r="E132" s="149"/>
      <c r="F132" s="150"/>
      <c r="G132" s="14"/>
      <c r="H132" s="14"/>
      <c r="I132" s="14"/>
      <c r="J132" s="9"/>
    </row>
    <row r="133" spans="1:18" ht="12.75" customHeight="1" x14ac:dyDescent="0.25">
      <c r="B133" s="46"/>
      <c r="C133" s="46"/>
      <c r="D133" s="46"/>
      <c r="E133" s="46"/>
      <c r="F133" s="46"/>
      <c r="G133" s="14"/>
      <c r="H133" s="14"/>
      <c r="I133" s="14"/>
      <c r="J133" s="9"/>
    </row>
    <row r="134" spans="1:18" ht="20.100000000000001" customHeight="1" thickBot="1" x14ac:dyDescent="0.3">
      <c r="B134" s="15" t="s">
        <v>186</v>
      </c>
      <c r="C134" s="15"/>
      <c r="D134" s="15"/>
      <c r="E134" s="15"/>
      <c r="F134" s="15"/>
      <c r="G134" s="14"/>
      <c r="H134" s="14"/>
      <c r="I134" s="14"/>
      <c r="J134" s="9"/>
    </row>
    <row r="135" spans="1:18" ht="23.25" customHeight="1" thickBot="1" x14ac:dyDescent="0.3">
      <c r="B135" s="163">
        <f>IFERROR(B144/1.2/1000-(B117*B123)/B126,0)</f>
        <v>0</v>
      </c>
      <c r="C135" s="149"/>
      <c r="D135" s="149"/>
      <c r="E135" s="149"/>
      <c r="F135" s="150"/>
      <c r="G135" s="14"/>
      <c r="H135" s="14"/>
      <c r="I135" s="14"/>
      <c r="J135" s="9"/>
    </row>
    <row r="136" spans="1:18" ht="17.25" customHeight="1" x14ac:dyDescent="0.25">
      <c r="B136" s="15"/>
      <c r="C136" s="46"/>
      <c r="D136" s="46"/>
      <c r="E136" s="46"/>
      <c r="F136" s="46"/>
      <c r="G136" s="14"/>
      <c r="H136" s="14"/>
      <c r="I136" s="14"/>
      <c r="J136" s="9"/>
    </row>
    <row r="137" spans="1:18" ht="20.100000000000001" customHeight="1" thickBot="1" x14ac:dyDescent="0.3">
      <c r="B137" s="15" t="s">
        <v>179</v>
      </c>
      <c r="C137" s="46"/>
      <c r="D137" s="46"/>
      <c r="E137" s="46"/>
      <c r="F137" s="46"/>
      <c r="G137" s="14"/>
      <c r="H137" s="14"/>
      <c r="I137" s="14"/>
      <c r="J137" s="9"/>
    </row>
    <row r="138" spans="1:18" ht="20.100000000000001" customHeight="1" thickBot="1" x14ac:dyDescent="0.3">
      <c r="B138" s="62">
        <f>(MIN(B132-B144)*B129/1000 ) * SUMIFS(Hárok2!$C$2:$C$13, Hárok2!$B$2:$B$13, "&gt;=" &amp; MONTH(DATEVALUE(TEXT(E114, "mmmm") &amp; " 1")), Hárok2!$B$2:$B$13, "&lt;=" &amp; MONTH(DATEVALUE(TEXT(F114, "mmmm") &amp; " 1")))</f>
        <v>0</v>
      </c>
      <c r="C138" s="60"/>
      <c r="D138" s="60"/>
      <c r="E138" s="60"/>
      <c r="F138" s="61"/>
      <c r="G138" s="65"/>
      <c r="H138" s="65"/>
      <c r="I138" s="65"/>
      <c r="J138" s="9"/>
    </row>
    <row r="139" spans="1:18" ht="20.100000000000001" customHeight="1" x14ac:dyDescent="0.25">
      <c r="B139" s="46"/>
      <c r="C139" s="46"/>
      <c r="D139" s="46"/>
      <c r="E139" s="46"/>
      <c r="F139" s="46"/>
      <c r="G139" s="14"/>
      <c r="H139" s="14"/>
      <c r="I139" s="14"/>
      <c r="J139" s="9"/>
    </row>
    <row r="140" spans="1:18" ht="20.100000000000001" customHeight="1" x14ac:dyDescent="0.3">
      <c r="A140" s="11" t="s">
        <v>178</v>
      </c>
      <c r="B140" s="17"/>
      <c r="C140" s="17"/>
      <c r="D140" s="20"/>
      <c r="E140" s="20"/>
      <c r="F140" s="16"/>
      <c r="J140" s="9"/>
      <c r="K140" s="64"/>
      <c r="L140" s="64"/>
      <c r="M140" s="64"/>
      <c r="Q140" s="75"/>
      <c r="R140" s="64"/>
    </row>
    <row r="141" spans="1:18" ht="20.100000000000001" customHeight="1" x14ac:dyDescent="0.3">
      <c r="A141" s="55"/>
      <c r="B141" s="56"/>
      <c r="C141" s="56"/>
      <c r="D141" s="16"/>
      <c r="E141" s="16"/>
      <c r="F141" s="16"/>
      <c r="J141" s="9"/>
      <c r="K141" s="64"/>
      <c r="L141" s="64"/>
      <c r="M141" s="64"/>
      <c r="Q141" s="75"/>
    </row>
    <row r="142" spans="1:18" ht="20.100000000000001" customHeight="1" x14ac:dyDescent="0.25">
      <c r="B142" s="16"/>
      <c r="C142" s="16"/>
      <c r="D142" s="16"/>
      <c r="E142" s="16"/>
      <c r="F142" s="16"/>
      <c r="J142" s="9"/>
      <c r="K142" s="64"/>
      <c r="L142" s="64"/>
      <c r="M142" s="64"/>
      <c r="Q142" s="75"/>
    </row>
    <row r="143" spans="1:18" ht="15.75" customHeight="1" thickBot="1" x14ac:dyDescent="0.3">
      <c r="B143" s="15" t="s">
        <v>50</v>
      </c>
      <c r="C143" s="16"/>
      <c r="D143" s="16"/>
      <c r="E143" s="16"/>
      <c r="F143" s="16"/>
      <c r="J143" s="9"/>
      <c r="Q143" s="75"/>
    </row>
    <row r="144" spans="1:18" ht="15.75" customHeight="1" thickBot="1" x14ac:dyDescent="0.3">
      <c r="B144" s="163">
        <f>MIN(199,(B54+20))</f>
        <v>158.228973544312</v>
      </c>
      <c r="C144" s="149"/>
      <c r="D144" s="149"/>
      <c r="E144" s="149"/>
      <c r="F144" s="150"/>
      <c r="J144" s="9"/>
      <c r="Q144" s="75"/>
    </row>
    <row r="145" spans="2:17" ht="15.75" customHeight="1" x14ac:dyDescent="0.25">
      <c r="B145" s="16"/>
      <c r="C145" s="16"/>
      <c r="D145" s="16"/>
      <c r="E145" s="16"/>
      <c r="F145" s="16"/>
      <c r="J145" s="9"/>
      <c r="Q145" s="75"/>
    </row>
    <row r="146" spans="2:17" ht="15.75" customHeight="1" thickBot="1" x14ac:dyDescent="0.3">
      <c r="B146" s="15" t="s">
        <v>187</v>
      </c>
      <c r="C146" s="16"/>
      <c r="D146" s="16"/>
      <c r="E146" s="16"/>
      <c r="F146" s="16"/>
      <c r="J146" s="9"/>
      <c r="Q146" s="75"/>
    </row>
    <row r="147" spans="2:17" ht="15.75" customHeight="1" thickBot="1" x14ac:dyDescent="0.3">
      <c r="B147" s="148">
        <f>(B135*B129+B108*B102+B81*B75)/SUM(B75+B129+B102)</f>
        <v>7.6498685925272425E-2</v>
      </c>
      <c r="C147" s="149"/>
      <c r="D147" s="149"/>
      <c r="E147" s="149"/>
      <c r="F147" s="150"/>
      <c r="J147" s="9"/>
      <c r="Q147" s="75"/>
    </row>
    <row r="148" spans="2:17" ht="15.75" customHeight="1" x14ac:dyDescent="0.25">
      <c r="B148" s="16"/>
      <c r="C148" s="16"/>
      <c r="D148" s="16"/>
      <c r="E148" s="16"/>
      <c r="F148" s="16"/>
      <c r="J148" s="9"/>
      <c r="Q148" s="75"/>
    </row>
    <row r="149" spans="2:17" ht="15.75" customHeight="1" thickBot="1" x14ac:dyDescent="0.3">
      <c r="B149" s="15" t="s">
        <v>174</v>
      </c>
      <c r="C149" s="16"/>
      <c r="D149" s="15"/>
      <c r="E149" s="15"/>
      <c r="F149" s="16"/>
      <c r="J149" s="9"/>
      <c r="Q149" s="75"/>
    </row>
    <row r="150" spans="2:17" ht="15.75" customHeight="1" thickBot="1" x14ac:dyDescent="0.3">
      <c r="B150" s="169">
        <f>B138+B111+B84</f>
        <v>3324026.1828352595</v>
      </c>
      <c r="C150" s="170"/>
      <c r="D150" s="53"/>
      <c r="E150" s="171"/>
      <c r="F150" s="171"/>
      <c r="J150" s="9"/>
      <c r="Q150" s="75"/>
    </row>
    <row r="151" spans="2:17" ht="15.75" customHeight="1" x14ac:dyDescent="0.25">
      <c r="B151" s="16"/>
      <c r="C151" s="16"/>
      <c r="D151" s="16"/>
      <c r="E151" s="16"/>
      <c r="F151" s="16"/>
      <c r="J151" s="9"/>
      <c r="Q151" s="75"/>
    </row>
    <row r="152" spans="2:17" ht="15.75" customHeight="1" x14ac:dyDescent="0.25">
      <c r="B152" s="16"/>
      <c r="C152" s="16"/>
      <c r="D152" s="16"/>
      <c r="E152" s="16"/>
      <c r="F152" s="16"/>
      <c r="J152" s="9"/>
    </row>
    <row r="153" spans="2:17" ht="20.100000000000001" customHeight="1" x14ac:dyDescent="0.25">
      <c r="B153" s="16"/>
      <c r="C153" s="16"/>
      <c r="D153" s="16"/>
      <c r="E153" s="16"/>
      <c r="F153" s="16"/>
      <c r="J153" s="9"/>
    </row>
    <row r="154" spans="2:17" ht="20.100000000000001" customHeight="1" x14ac:dyDescent="0.25">
      <c r="B154" s="21" t="s">
        <v>175</v>
      </c>
      <c r="C154" s="21"/>
      <c r="D154" s="21"/>
      <c r="E154" s="21"/>
      <c r="F154" s="22"/>
      <c r="G154" s="1"/>
      <c r="H154" s="1"/>
      <c r="I154" s="1"/>
      <c r="J154" s="9"/>
    </row>
    <row r="155" spans="2:17" ht="20.100000000000001" customHeight="1" x14ac:dyDescent="0.25">
      <c r="B155" s="23"/>
      <c r="C155" s="23"/>
      <c r="D155" s="23"/>
      <c r="E155" s="23"/>
      <c r="F155" s="22"/>
    </row>
    <row r="156" spans="2:17" ht="20.100000000000001" customHeight="1" x14ac:dyDescent="0.25">
      <c r="B156" s="67" t="s">
        <v>22</v>
      </c>
      <c r="C156" s="67" t="s">
        <v>23</v>
      </c>
      <c r="D156" s="67" t="s">
        <v>24</v>
      </c>
      <c r="E156" s="67" t="s">
        <v>25</v>
      </c>
      <c r="F156" s="67" t="s">
        <v>26</v>
      </c>
      <c r="G156" s="68" t="s">
        <v>27</v>
      </c>
    </row>
    <row r="157" spans="2:17" ht="23.25" customHeight="1" x14ac:dyDescent="0.25">
      <c r="B157" s="80">
        <f>Hárok2!D18</f>
        <v>486333.41777854529</v>
      </c>
      <c r="C157" s="69">
        <f>Hárok2!D19</f>
        <v>400672.41805618786</v>
      </c>
      <c r="D157" s="69">
        <f>Hárok2!D20</f>
        <v>386856.12777838839</v>
      </c>
      <c r="E157" s="69">
        <f>Hárok2!D21</f>
        <v>248693.2250003925</v>
      </c>
      <c r="F157" s="69">
        <f>Hárok2!D22</f>
        <v>55265.161111198329</v>
      </c>
      <c r="G157" s="69">
        <f>Hárok2!D23</f>
        <v>65126.557878248845</v>
      </c>
    </row>
    <row r="158" spans="2:17" ht="24.95" customHeight="1" x14ac:dyDescent="0.25">
      <c r="B158" s="67" t="s">
        <v>28</v>
      </c>
      <c r="C158" s="67" t="s">
        <v>29</v>
      </c>
      <c r="D158" s="67" t="s">
        <v>30</v>
      </c>
      <c r="E158" s="67" t="s">
        <v>31</v>
      </c>
      <c r="F158" s="67" t="s">
        <v>32</v>
      </c>
      <c r="G158" s="68" t="s">
        <v>33</v>
      </c>
    </row>
    <row r="159" spans="2:17" ht="15.75" customHeight="1" x14ac:dyDescent="0.25">
      <c r="B159" s="69">
        <f>Hárok2!D24</f>
        <v>65126.557878248845</v>
      </c>
      <c r="C159" s="69">
        <f>Hárok2!D25</f>
        <v>65126.557878248845</v>
      </c>
      <c r="D159" s="69">
        <f>Hárok2!D26</f>
        <v>81408.197347811045</v>
      </c>
      <c r="E159" s="69">
        <f>Hárok2!D27</f>
        <v>325632.78939124418</v>
      </c>
      <c r="F159" s="69">
        <f>Hárok2!D28</f>
        <v>488449.18408686627</v>
      </c>
      <c r="G159" s="69">
        <f>Hárok2!D29</f>
        <v>655335.988649879</v>
      </c>
    </row>
    <row r="160" spans="2:17" ht="15.75" x14ac:dyDescent="0.25">
      <c r="B160" s="24"/>
      <c r="C160" s="24"/>
      <c r="D160" s="24"/>
      <c r="E160" s="24"/>
      <c r="F160" s="24"/>
      <c r="G160" s="13"/>
      <c r="H160" s="13"/>
      <c r="I160" s="13"/>
    </row>
    <row r="161" spans="2:10" ht="15.75" x14ac:dyDescent="0.25">
      <c r="B161" s="24"/>
      <c r="C161" s="24"/>
      <c r="D161" s="24"/>
      <c r="E161" s="24"/>
      <c r="F161" s="26"/>
      <c r="G161" s="13"/>
      <c r="H161" s="13"/>
      <c r="I161" s="13"/>
      <c r="J161" s="4"/>
    </row>
    <row r="162" spans="2:10" ht="15.75" x14ac:dyDescent="0.25">
      <c r="B162" s="24"/>
      <c r="C162" s="24"/>
      <c r="D162" s="24"/>
      <c r="E162" s="24"/>
      <c r="F162" s="26"/>
      <c r="G162" s="13"/>
      <c r="H162" s="13"/>
      <c r="I162" s="13"/>
      <c r="J162" s="4"/>
    </row>
    <row r="163" spans="2:10" ht="15.75" x14ac:dyDescent="0.25">
      <c r="B163" s="25" t="s">
        <v>52</v>
      </c>
      <c r="C163" s="24"/>
      <c r="D163" s="24"/>
      <c r="E163" s="24"/>
      <c r="F163" s="26"/>
      <c r="G163" s="13"/>
      <c r="H163" s="13"/>
      <c r="I163" s="13"/>
      <c r="J163" s="4"/>
    </row>
    <row r="164" spans="2:10" ht="15.75" thickBot="1" x14ac:dyDescent="0.3">
      <c r="B164" s="16" t="s">
        <v>132</v>
      </c>
      <c r="C164" s="16"/>
      <c r="D164" s="16" t="s">
        <v>133</v>
      </c>
      <c r="E164" s="16"/>
      <c r="F164" s="27"/>
      <c r="J164" s="4"/>
    </row>
    <row r="165" spans="2:10" ht="15.75" thickBot="1" x14ac:dyDescent="0.3">
      <c r="B165" s="39" t="s">
        <v>164</v>
      </c>
      <c r="C165" s="16"/>
      <c r="D165" s="39" t="s">
        <v>165</v>
      </c>
      <c r="E165" s="16"/>
      <c r="F165" s="27"/>
      <c r="J165" s="4"/>
    </row>
    <row r="166" spans="2:10" x14ac:dyDescent="0.25">
      <c r="B166" s="28"/>
      <c r="C166" s="16"/>
      <c r="D166" s="16"/>
      <c r="E166" s="16"/>
      <c r="F166" s="27"/>
      <c r="J166" s="4"/>
    </row>
    <row r="167" spans="2:10" ht="15.75" thickBot="1" x14ac:dyDescent="0.3">
      <c r="B167" s="16" t="s">
        <v>134</v>
      </c>
      <c r="C167" s="16"/>
      <c r="D167" s="16" t="s">
        <v>135</v>
      </c>
      <c r="E167" s="16"/>
      <c r="F167" s="27"/>
      <c r="J167" s="4"/>
    </row>
    <row r="168" spans="2:10" ht="15.75" thickBot="1" x14ac:dyDescent="0.3">
      <c r="B168" s="39" t="s">
        <v>166</v>
      </c>
      <c r="C168" s="16"/>
      <c r="D168" s="39" t="s">
        <v>165</v>
      </c>
      <c r="E168" s="16"/>
      <c r="F168" s="27"/>
      <c r="J168" s="4"/>
    </row>
    <row r="169" spans="2:10" x14ac:dyDescent="0.25">
      <c r="B169" s="28"/>
      <c r="C169" s="16"/>
      <c r="D169" s="16"/>
      <c r="E169" s="16"/>
      <c r="F169" s="27"/>
      <c r="J169" s="4"/>
    </row>
    <row r="170" spans="2:10" ht="15.75" thickBot="1" x14ac:dyDescent="0.3">
      <c r="B170" s="16" t="s">
        <v>136</v>
      </c>
      <c r="C170" s="16"/>
      <c r="D170" s="16" t="s">
        <v>137</v>
      </c>
      <c r="E170" s="16"/>
      <c r="F170" s="27"/>
      <c r="J170" s="4"/>
    </row>
    <row r="171" spans="2:10" ht="15.75" thickBot="1" x14ac:dyDescent="0.3">
      <c r="B171" s="39"/>
      <c r="C171" s="16"/>
      <c r="D171" s="39"/>
      <c r="E171" s="16"/>
      <c r="F171" s="27"/>
      <c r="J171" s="4"/>
    </row>
    <row r="172" spans="2:10" x14ac:dyDescent="0.25">
      <c r="B172" s="28"/>
      <c r="C172" s="16"/>
      <c r="D172" s="16"/>
      <c r="E172" s="16"/>
      <c r="F172" s="27"/>
      <c r="J172" s="4"/>
    </row>
    <row r="173" spans="2:10" ht="15.75" thickBot="1" x14ac:dyDescent="0.3">
      <c r="B173" s="16" t="s">
        <v>138</v>
      </c>
      <c r="C173" s="16"/>
      <c r="D173" s="16" t="s">
        <v>139</v>
      </c>
      <c r="E173" s="16"/>
      <c r="F173" s="27"/>
      <c r="J173" s="4"/>
    </row>
    <row r="174" spans="2:10" ht="15.75" thickBot="1" x14ac:dyDescent="0.3">
      <c r="B174" s="39"/>
      <c r="C174" s="16"/>
      <c r="D174" s="39"/>
      <c r="E174" s="16"/>
      <c r="F174" s="27"/>
      <c r="J174" s="4"/>
    </row>
    <row r="175" spans="2:10" x14ac:dyDescent="0.25">
      <c r="B175" s="28"/>
      <c r="C175" s="16"/>
      <c r="D175" s="16"/>
      <c r="E175" s="16"/>
      <c r="F175" s="27"/>
      <c r="J175" s="4"/>
    </row>
    <row r="176" spans="2:10" ht="15.75" thickBot="1" x14ac:dyDescent="0.3">
      <c r="B176" s="16" t="s">
        <v>140</v>
      </c>
      <c r="C176" s="16"/>
      <c r="D176" s="16" t="s">
        <v>141</v>
      </c>
      <c r="E176" s="16"/>
      <c r="F176" s="27"/>
      <c r="J176" s="4"/>
    </row>
    <row r="177" spans="2:10" ht="15.75" thickBot="1" x14ac:dyDescent="0.3">
      <c r="B177" s="39"/>
      <c r="C177" s="16"/>
      <c r="D177" s="39"/>
      <c r="E177" s="16"/>
      <c r="F177" s="27"/>
      <c r="J177" s="4"/>
    </row>
    <row r="178" spans="2:10" x14ac:dyDescent="0.25">
      <c r="B178" s="28"/>
      <c r="C178" s="16"/>
      <c r="D178" s="16"/>
      <c r="E178" s="16"/>
      <c r="F178" s="27"/>
      <c r="J178" s="4"/>
    </row>
    <row r="179" spans="2:10" ht="15.75" thickBot="1" x14ac:dyDescent="0.3">
      <c r="B179" s="16" t="s">
        <v>140</v>
      </c>
      <c r="C179" s="16"/>
      <c r="D179" s="16" t="s">
        <v>141</v>
      </c>
      <c r="E179" s="16"/>
      <c r="F179" s="27"/>
      <c r="J179" s="4"/>
    </row>
    <row r="180" spans="2:10" ht="15.75" thickBot="1" x14ac:dyDescent="0.3">
      <c r="B180" s="39"/>
      <c r="C180" s="16"/>
      <c r="D180" s="39"/>
      <c r="E180" s="16"/>
      <c r="F180" s="27"/>
      <c r="J180" s="4"/>
    </row>
    <row r="181" spans="2:10" x14ac:dyDescent="0.25">
      <c r="B181" s="28"/>
      <c r="C181" s="16"/>
      <c r="D181" s="16"/>
      <c r="E181" s="16"/>
      <c r="F181" s="27"/>
      <c r="J181" s="4"/>
    </row>
    <row r="182" spans="2:10" ht="15.75" thickBot="1" x14ac:dyDescent="0.3">
      <c r="B182" s="16" t="s">
        <v>142</v>
      </c>
      <c r="C182" s="16"/>
      <c r="D182" s="16" t="s">
        <v>143</v>
      </c>
      <c r="E182" s="16"/>
      <c r="F182" s="27"/>
      <c r="J182" s="4"/>
    </row>
    <row r="183" spans="2:10" ht="15.75" thickBot="1" x14ac:dyDescent="0.3">
      <c r="B183" s="39"/>
      <c r="C183" s="16"/>
      <c r="D183" s="39"/>
      <c r="E183" s="16"/>
      <c r="F183" s="27"/>
      <c r="J183" s="4"/>
    </row>
    <row r="184" spans="2:10" x14ac:dyDescent="0.25">
      <c r="B184" s="28"/>
      <c r="C184" s="16"/>
      <c r="D184" s="16"/>
      <c r="E184" s="16"/>
      <c r="F184" s="27"/>
      <c r="J184" s="4"/>
    </row>
    <row r="185" spans="2:10" ht="15.75" thickBot="1" x14ac:dyDescent="0.3">
      <c r="B185" s="16" t="s">
        <v>144</v>
      </c>
      <c r="C185" s="16"/>
      <c r="D185" s="16" t="s">
        <v>145</v>
      </c>
      <c r="E185" s="16"/>
      <c r="F185" s="27"/>
      <c r="J185" s="4"/>
    </row>
    <row r="186" spans="2:10" ht="15.75" thickBot="1" x14ac:dyDescent="0.3">
      <c r="B186" s="39"/>
      <c r="C186" s="16"/>
      <c r="D186" s="39"/>
      <c r="E186" s="16"/>
      <c r="F186" s="27"/>
      <c r="J186" s="4"/>
    </row>
    <row r="187" spans="2:10" x14ac:dyDescent="0.25">
      <c r="B187" s="28"/>
      <c r="C187" s="16"/>
      <c r="D187" s="16"/>
      <c r="E187" s="16"/>
      <c r="F187" s="27"/>
      <c r="J187" s="4"/>
    </row>
    <row r="188" spans="2:10" ht="15.75" thickBot="1" x14ac:dyDescent="0.3">
      <c r="B188" s="16" t="s">
        <v>146</v>
      </c>
      <c r="C188" s="16"/>
      <c r="D188" s="16" t="s">
        <v>147</v>
      </c>
      <c r="E188" s="16"/>
      <c r="F188" s="27"/>
      <c r="J188" s="4"/>
    </row>
    <row r="189" spans="2:10" ht="15.75" thickBot="1" x14ac:dyDescent="0.3">
      <c r="B189" s="39"/>
      <c r="C189" s="16"/>
      <c r="D189" s="39"/>
      <c r="E189" s="16"/>
      <c r="F189" s="27"/>
      <c r="J189" s="4"/>
    </row>
    <row r="190" spans="2:10" x14ac:dyDescent="0.25">
      <c r="B190" s="28"/>
      <c r="C190" s="16"/>
      <c r="D190" s="16"/>
      <c r="E190" s="16"/>
      <c r="F190" s="27"/>
      <c r="J190" s="4"/>
    </row>
    <row r="191" spans="2:10" ht="15.75" thickBot="1" x14ac:dyDescent="0.3">
      <c r="B191" s="16" t="s">
        <v>148</v>
      </c>
      <c r="C191" s="16"/>
      <c r="D191" s="16" t="s">
        <v>149</v>
      </c>
      <c r="E191" s="16"/>
      <c r="F191" s="27"/>
      <c r="J191" s="4"/>
    </row>
    <row r="192" spans="2:10" ht="15.75" thickBot="1" x14ac:dyDescent="0.3">
      <c r="B192" s="39"/>
      <c r="C192" s="16"/>
      <c r="D192" s="39"/>
      <c r="E192" s="16"/>
      <c r="F192" s="27"/>
      <c r="J192" s="4"/>
    </row>
    <row r="193" spans="2:10" x14ac:dyDescent="0.25">
      <c r="B193" s="28"/>
      <c r="C193" s="16"/>
      <c r="D193" s="16"/>
      <c r="E193" s="16"/>
      <c r="F193" s="27"/>
      <c r="J193" s="4"/>
    </row>
    <row r="194" spans="2:10" ht="15.75" thickBot="1" x14ac:dyDescent="0.3">
      <c r="B194" s="16" t="s">
        <v>150</v>
      </c>
      <c r="C194" s="16"/>
      <c r="D194" s="16" t="s">
        <v>151</v>
      </c>
      <c r="E194" s="16"/>
      <c r="F194" s="27"/>
      <c r="J194" s="4"/>
    </row>
    <row r="195" spans="2:10" ht="15.75" thickBot="1" x14ac:dyDescent="0.3">
      <c r="B195" s="39"/>
      <c r="C195" s="16"/>
      <c r="D195" s="39"/>
      <c r="E195" s="16"/>
      <c r="F195" s="27"/>
      <c r="J195" s="4"/>
    </row>
    <row r="196" spans="2:10" x14ac:dyDescent="0.25">
      <c r="B196" s="16"/>
      <c r="C196" s="16"/>
      <c r="D196" s="16"/>
      <c r="E196" s="16"/>
      <c r="F196" s="16"/>
    </row>
    <row r="197" spans="2:10" x14ac:dyDescent="0.25">
      <c r="B197" s="168" t="s">
        <v>17</v>
      </c>
      <c r="C197" s="168"/>
      <c r="D197" s="168"/>
      <c r="E197" s="168"/>
      <c r="F197" s="168"/>
      <c r="J197" s="164"/>
    </row>
    <row r="198" spans="2:10" ht="7.5" customHeight="1" x14ac:dyDescent="0.25">
      <c r="B198" s="16"/>
      <c r="C198" s="16"/>
      <c r="D198" s="16"/>
      <c r="E198" s="16"/>
      <c r="F198" s="16"/>
      <c r="J198" s="164"/>
    </row>
    <row r="199" spans="2:10" ht="159.75" customHeight="1" x14ac:dyDescent="0.25">
      <c r="B199" s="174" t="s">
        <v>51</v>
      </c>
      <c r="C199" s="175"/>
      <c r="D199" s="175"/>
      <c r="E199" s="175"/>
      <c r="F199" s="175"/>
      <c r="G199" s="40" t="s">
        <v>167</v>
      </c>
      <c r="H199" s="40"/>
      <c r="I199" s="40"/>
      <c r="J199" s="164"/>
    </row>
    <row r="200" spans="2:10" ht="7.5" customHeight="1" x14ac:dyDescent="0.25">
      <c r="B200" s="29"/>
      <c r="C200" s="30"/>
      <c r="D200" s="30"/>
      <c r="E200" s="30"/>
      <c r="F200" s="30"/>
      <c r="J200" s="164"/>
    </row>
    <row r="201" spans="2:10" ht="75.599999999999994" customHeight="1" x14ac:dyDescent="0.25">
      <c r="B201" s="174" t="s">
        <v>38</v>
      </c>
      <c r="C201" s="174"/>
      <c r="D201" s="174"/>
      <c r="E201" s="174"/>
      <c r="F201" s="174"/>
      <c r="G201" s="40" t="s">
        <v>167</v>
      </c>
      <c r="H201" s="40"/>
      <c r="I201" s="40"/>
      <c r="J201" s="164"/>
    </row>
    <row r="202" spans="2:10" ht="7.5" customHeight="1" x14ac:dyDescent="0.25">
      <c r="B202" s="29"/>
      <c r="C202" s="29"/>
      <c r="D202" s="29"/>
      <c r="E202" s="29"/>
      <c r="F202" s="29"/>
      <c r="J202" s="164"/>
    </row>
    <row r="203" spans="2:10" ht="45.95" customHeight="1" x14ac:dyDescent="0.25">
      <c r="B203" s="174" t="s">
        <v>39</v>
      </c>
      <c r="C203" s="174"/>
      <c r="D203" s="174"/>
      <c r="E203" s="174"/>
      <c r="F203" s="174"/>
      <c r="G203" s="40" t="s">
        <v>167</v>
      </c>
      <c r="H203" s="40"/>
      <c r="I203" s="40"/>
      <c r="J203" s="164"/>
    </row>
    <row r="204" spans="2:10" ht="7.5" customHeight="1" x14ac:dyDescent="0.25">
      <c r="B204" s="29"/>
      <c r="C204" s="29"/>
      <c r="D204" s="29"/>
      <c r="E204" s="29"/>
      <c r="F204" s="29"/>
      <c r="J204" s="164"/>
    </row>
    <row r="205" spans="2:10" ht="32.1" customHeight="1" x14ac:dyDescent="0.25">
      <c r="B205" s="193" t="s">
        <v>40</v>
      </c>
      <c r="C205" s="174"/>
      <c r="D205" s="174"/>
      <c r="E205" s="174"/>
      <c r="F205" s="174"/>
      <c r="G205" s="40" t="s">
        <v>167</v>
      </c>
      <c r="H205" s="40"/>
      <c r="I205" s="40"/>
      <c r="J205" s="164"/>
    </row>
    <row r="206" spans="2:10" ht="7.5" customHeight="1" x14ac:dyDescent="0.25">
      <c r="B206" s="29"/>
      <c r="C206" s="29"/>
      <c r="D206" s="29"/>
      <c r="E206" s="29"/>
      <c r="F206" s="29"/>
      <c r="J206" s="164"/>
    </row>
    <row r="207" spans="2:10" ht="45.95" customHeight="1" x14ac:dyDescent="0.25">
      <c r="B207" s="192" t="s">
        <v>41</v>
      </c>
      <c r="C207" s="192"/>
      <c r="D207" s="192"/>
      <c r="E207" s="192"/>
      <c r="F207" s="192"/>
      <c r="G207" s="40" t="s">
        <v>167</v>
      </c>
      <c r="H207" s="40"/>
      <c r="I207" s="40"/>
      <c r="J207" s="164"/>
    </row>
    <row r="208" spans="2:10" ht="6.95" customHeight="1" x14ac:dyDescent="0.25">
      <c r="B208" s="31"/>
      <c r="C208" s="31"/>
      <c r="D208" s="31"/>
      <c r="E208" s="31"/>
      <c r="F208" s="31"/>
      <c r="J208" s="164"/>
    </row>
    <row r="209" spans="2:10" ht="45.95" customHeight="1" x14ac:dyDescent="0.25">
      <c r="B209" s="192" t="s">
        <v>42</v>
      </c>
      <c r="C209" s="192"/>
      <c r="D209" s="192"/>
      <c r="E209" s="192"/>
      <c r="F209" s="192"/>
      <c r="G209" s="40" t="s">
        <v>167</v>
      </c>
      <c r="H209" s="40"/>
      <c r="I209" s="40"/>
      <c r="J209" s="164"/>
    </row>
    <row r="210" spans="2:10" ht="7.5" customHeight="1" x14ac:dyDescent="0.25">
      <c r="B210" s="29"/>
      <c r="C210" s="29"/>
      <c r="D210" s="29"/>
      <c r="E210" s="29"/>
      <c r="F210" s="29"/>
      <c r="J210" s="164"/>
    </row>
    <row r="211" spans="2:10" ht="47.1" customHeight="1" x14ac:dyDescent="0.25">
      <c r="B211" s="174" t="s">
        <v>43</v>
      </c>
      <c r="C211" s="174"/>
      <c r="D211" s="174"/>
      <c r="E211" s="174"/>
      <c r="F211" s="174"/>
      <c r="G211" s="40" t="s">
        <v>167</v>
      </c>
      <c r="H211" s="40"/>
      <c r="I211" s="40"/>
      <c r="J211" s="164"/>
    </row>
    <row r="212" spans="2:10" ht="7.5" customHeight="1" x14ac:dyDescent="0.25">
      <c r="B212" s="29"/>
      <c r="C212" s="29"/>
      <c r="D212" s="29"/>
      <c r="E212" s="29"/>
      <c r="F212" s="29"/>
      <c r="J212" s="164"/>
    </row>
    <row r="213" spans="2:10" ht="7.5" customHeight="1" x14ac:dyDescent="0.25">
      <c r="B213" s="29"/>
      <c r="C213" s="29"/>
      <c r="D213" s="29"/>
      <c r="E213" s="29"/>
      <c r="F213" s="29"/>
      <c r="J213" s="164"/>
    </row>
    <row r="214" spans="2:10" ht="46.5" customHeight="1" x14ac:dyDescent="0.25">
      <c r="B214" s="174" t="s">
        <v>44</v>
      </c>
      <c r="C214" s="175"/>
      <c r="D214" s="175"/>
      <c r="E214" s="175"/>
      <c r="F214" s="175"/>
      <c r="G214" s="40" t="s">
        <v>167</v>
      </c>
      <c r="H214" s="40"/>
      <c r="I214" s="40"/>
      <c r="J214" s="164"/>
    </row>
    <row r="215" spans="2:10" ht="7.5" customHeight="1" x14ac:dyDescent="0.25">
      <c r="B215" s="29"/>
      <c r="C215" s="30"/>
      <c r="D215" s="30"/>
      <c r="E215" s="30"/>
      <c r="F215" s="30"/>
      <c r="J215" s="164"/>
    </row>
    <row r="216" spans="2:10" ht="7.5" customHeight="1" x14ac:dyDescent="0.25">
      <c r="B216" s="16"/>
      <c r="C216" s="16"/>
      <c r="D216" s="16"/>
      <c r="E216" s="16"/>
      <c r="F216" s="16"/>
      <c r="J216" s="164"/>
    </row>
    <row r="217" spans="2:10" ht="74.45" customHeight="1" x14ac:dyDescent="0.25">
      <c r="B217" s="174" t="s">
        <v>45</v>
      </c>
      <c r="C217" s="175"/>
      <c r="D217" s="175"/>
      <c r="E217" s="175"/>
      <c r="F217" s="175"/>
      <c r="G217" s="40" t="s">
        <v>167</v>
      </c>
      <c r="H217" s="40"/>
      <c r="I217" s="40"/>
      <c r="J217" s="164"/>
    </row>
    <row r="218" spans="2:10" ht="7.5" customHeight="1" x14ac:dyDescent="0.25">
      <c r="B218" s="16"/>
      <c r="C218" s="16"/>
      <c r="D218" s="16"/>
      <c r="E218" s="16"/>
      <c r="F218" s="16"/>
      <c r="J218" s="164"/>
    </row>
    <row r="219" spans="2:10" ht="33.950000000000003" customHeight="1" x14ac:dyDescent="0.25">
      <c r="B219" s="174" t="s">
        <v>46</v>
      </c>
      <c r="C219" s="175"/>
      <c r="D219" s="175"/>
      <c r="E219" s="175"/>
      <c r="F219" s="175"/>
      <c r="G219" s="40" t="s">
        <v>167</v>
      </c>
      <c r="H219" s="40"/>
      <c r="I219" s="40"/>
      <c r="J219" s="164"/>
    </row>
    <row r="220" spans="2:10" ht="7.5" customHeight="1" x14ac:dyDescent="0.25">
      <c r="B220" s="32"/>
      <c r="C220" s="33"/>
      <c r="D220" s="33"/>
      <c r="E220" s="33"/>
      <c r="F220" s="33"/>
      <c r="J220" s="164"/>
    </row>
    <row r="221" spans="2:10" ht="6.95" customHeight="1" x14ac:dyDescent="0.25">
      <c r="B221" s="29"/>
      <c r="C221" s="29"/>
      <c r="D221" s="29"/>
      <c r="E221" s="29"/>
      <c r="F221" s="29"/>
      <c r="J221" s="4"/>
    </row>
    <row r="222" spans="2:10" ht="33.950000000000003" customHeight="1" x14ac:dyDescent="0.25">
      <c r="B222" s="186" t="s">
        <v>47</v>
      </c>
      <c r="C222" s="186"/>
      <c r="D222" s="186"/>
      <c r="E222" s="186"/>
      <c r="F222" s="186"/>
      <c r="G222" s="40" t="s">
        <v>167</v>
      </c>
      <c r="H222" s="40"/>
      <c r="I222" s="40"/>
      <c r="J222" s="4"/>
    </row>
    <row r="223" spans="2:10" ht="24.95" customHeight="1" x14ac:dyDescent="0.25"/>
    <row r="224" spans="2:10" ht="19.5" customHeight="1" x14ac:dyDescent="0.25">
      <c r="B224" s="189" t="str">
        <f>IF(AND(G199="ÁNO",G201="ÁNO",G203="ÁNO",G205="ÁNO",G207="ÁNO",G209="ÁNO",G211="ÁNO",G214="ÁNO",G217="ÁNO",G219="ÁNO",G222="ÁNO"),"","NIE SÚ VYPLNENÉ VŠETKY ČESTNÉ PREHLÁSENIA")</f>
        <v/>
      </c>
      <c r="C224" s="190"/>
      <c r="D224" s="190"/>
      <c r="E224" s="190"/>
      <c r="F224" s="190"/>
      <c r="J224" s="164"/>
    </row>
    <row r="225" spans="2:10" ht="24.95" customHeight="1" thickBot="1" x14ac:dyDescent="0.3">
      <c r="J225" s="164"/>
    </row>
    <row r="226" spans="2:10" x14ac:dyDescent="0.25">
      <c r="B226" s="187"/>
      <c r="J226" s="164"/>
    </row>
    <row r="227" spans="2:10" ht="15.75" thickBot="1" x14ac:dyDescent="0.3">
      <c r="B227" s="188"/>
      <c r="J227" s="164"/>
    </row>
    <row r="228" spans="2:10" x14ac:dyDescent="0.25">
      <c r="J228" s="164"/>
    </row>
    <row r="229" spans="2:10" x14ac:dyDescent="0.25">
      <c r="J229" s="164"/>
    </row>
    <row r="230" spans="2:10" x14ac:dyDescent="0.25">
      <c r="J230" s="164"/>
    </row>
    <row r="231" spans="2:10" x14ac:dyDescent="0.25">
      <c r="J231" s="164"/>
    </row>
    <row r="232" spans="2:10" x14ac:dyDescent="0.25">
      <c r="J232" s="164"/>
    </row>
    <row r="233" spans="2:10" x14ac:dyDescent="0.25">
      <c r="J233" s="164"/>
    </row>
    <row r="234" spans="2:10" x14ac:dyDescent="0.25">
      <c r="J234" s="164"/>
    </row>
  </sheetData>
  <sheetProtection selectLockedCells="1"/>
  <mergeCells count="59">
    <mergeCell ref="B1:F1"/>
    <mergeCell ref="B9:F9"/>
    <mergeCell ref="B12:C12"/>
    <mergeCell ref="E12:F12"/>
    <mergeCell ref="B28:C28"/>
    <mergeCell ref="B69:F69"/>
    <mergeCell ref="J32:J33"/>
    <mergeCell ref="B33:F33"/>
    <mergeCell ref="B39:F39"/>
    <mergeCell ref="B42:F42"/>
    <mergeCell ref="B45:F45"/>
    <mergeCell ref="B48:F48"/>
    <mergeCell ref="B51:F51"/>
    <mergeCell ref="B54:F54"/>
    <mergeCell ref="B60:C60"/>
    <mergeCell ref="B63:F63"/>
    <mergeCell ref="B66:F66"/>
    <mergeCell ref="B72:F72"/>
    <mergeCell ref="B75:F75"/>
    <mergeCell ref="B78:F78"/>
    <mergeCell ref="B81:F81"/>
    <mergeCell ref="B87:C87"/>
    <mergeCell ref="B126:F126"/>
    <mergeCell ref="B90:F90"/>
    <mergeCell ref="B93:F93"/>
    <mergeCell ref="B96:F96"/>
    <mergeCell ref="B99:F99"/>
    <mergeCell ref="B102:F102"/>
    <mergeCell ref="B105:F105"/>
    <mergeCell ref="B108:F108"/>
    <mergeCell ref="B114:C114"/>
    <mergeCell ref="B117:F117"/>
    <mergeCell ref="B120:F120"/>
    <mergeCell ref="B123:F123"/>
    <mergeCell ref="B211:F211"/>
    <mergeCell ref="B214:F214"/>
    <mergeCell ref="B129:F129"/>
    <mergeCell ref="B132:F132"/>
    <mergeCell ref="B135:F135"/>
    <mergeCell ref="B144:F144"/>
    <mergeCell ref="B147:F147"/>
    <mergeCell ref="B150:C150"/>
    <mergeCell ref="E150:F150"/>
    <mergeCell ref="J224:J234"/>
    <mergeCell ref="J197:J220"/>
    <mergeCell ref="J77:J78"/>
    <mergeCell ref="J6:J23"/>
    <mergeCell ref="B217:F217"/>
    <mergeCell ref="B219:F219"/>
    <mergeCell ref="B222:F222"/>
    <mergeCell ref="B224:F224"/>
    <mergeCell ref="B226:B227"/>
    <mergeCell ref="B197:F197"/>
    <mergeCell ref="B199:F199"/>
    <mergeCell ref="B201:F201"/>
    <mergeCell ref="B203:F203"/>
    <mergeCell ref="B205:F205"/>
    <mergeCell ref="B207:F207"/>
    <mergeCell ref="B209:F209"/>
  </mergeCells>
  <dataValidations disablePrompts="1" count="1">
    <dataValidation type="list" allowBlank="1" showInputMessage="1" showErrorMessage="1" prompt="ZVOLIŤ MOŽNOSŤ" sqref="G199:I199 G201:I201 G203:I203 G205:I205 G207:I207 G209:I209 G211:I211 G214:I214 G217:I217 G219:I219 G222:I222">
      <formula1>"Zvoliť možnosť, ÁNO, NIE"</formula1>
    </dataValidation>
  </dataValidations>
  <pageMargins left="0.7" right="0.7" top="0.75" bottom="0.75" header="0.3" footer="0.3"/>
  <pageSetup paperSize="8" scale="81"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Okresy!$A$1:$A$79</xm:f>
          </x14:formula1>
          <xm:sqref>F19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45"/>
  <sheetViews>
    <sheetView showGridLines="0" tabSelected="1" topLeftCell="A32" zoomScaleNormal="100" workbookViewId="0">
      <selection activeCell="I45" sqref="I45"/>
    </sheetView>
  </sheetViews>
  <sheetFormatPr defaultColWidth="8.85546875" defaultRowHeight="15" x14ac:dyDescent="0.25"/>
  <cols>
    <col min="2" max="2" width="17.42578125" customWidth="1"/>
    <col min="3" max="3" width="18" customWidth="1"/>
    <col min="4" max="4" width="16.28515625" customWidth="1"/>
    <col min="5" max="5" width="19.5703125" customWidth="1"/>
    <col min="6" max="6" width="24.42578125" customWidth="1"/>
    <col min="7" max="7" width="18.42578125" customWidth="1"/>
    <col min="8" max="8" width="17.5703125" style="91" bestFit="1" customWidth="1"/>
    <col min="9" max="9" width="23.7109375" style="91" customWidth="1"/>
    <col min="10" max="10" width="31.85546875" style="91" customWidth="1"/>
    <col min="11" max="11" width="10.42578125" style="91" bestFit="1" customWidth="1"/>
    <col min="12" max="12" width="9.42578125" style="91" bestFit="1" customWidth="1"/>
    <col min="13" max="13" width="123.85546875" style="91" customWidth="1"/>
    <col min="14" max="17" width="8.85546875" style="91"/>
    <col min="18" max="18" width="15" style="91" bestFit="1" customWidth="1"/>
    <col min="19" max="16384" width="8.85546875" style="91"/>
  </cols>
  <sheetData>
    <row r="1" spans="1:6" ht="44.45" customHeight="1" thickBot="1" x14ac:dyDescent="0.3">
      <c r="A1" s="144" t="s">
        <v>270</v>
      </c>
      <c r="B1" s="222" t="s">
        <v>276</v>
      </c>
      <c r="C1" s="223"/>
      <c r="D1" s="223"/>
      <c r="E1" s="223"/>
      <c r="F1" s="224"/>
    </row>
    <row r="2" spans="1:6" ht="24.95" customHeight="1" x14ac:dyDescent="0.25"/>
    <row r="3" spans="1:6" ht="18.75" x14ac:dyDescent="0.3">
      <c r="A3" s="11" t="s">
        <v>13</v>
      </c>
      <c r="B3" s="11"/>
      <c r="C3" s="11"/>
      <c r="D3" s="11"/>
      <c r="E3" s="11"/>
      <c r="F3" s="11"/>
    </row>
    <row r="4" spans="1:6" x14ac:dyDescent="0.25">
      <c r="B4" s="1"/>
    </row>
    <row r="5" spans="1:6" ht="15.75" thickBot="1" x14ac:dyDescent="0.3">
      <c r="B5" s="145" t="s">
        <v>0</v>
      </c>
      <c r="D5" s="5" t="s">
        <v>16</v>
      </c>
      <c r="F5" t="s">
        <v>20</v>
      </c>
    </row>
    <row r="6" spans="1:6" ht="16.5" customHeight="1" thickBot="1" x14ac:dyDescent="0.3">
      <c r="B6" s="127"/>
      <c r="D6" s="127"/>
      <c r="F6" s="127"/>
    </row>
    <row r="7" spans="1:6" ht="15" hidden="1" customHeight="1" x14ac:dyDescent="0.25"/>
    <row r="8" spans="1:6" ht="15" hidden="1" customHeight="1" thickBot="1" x14ac:dyDescent="0.3">
      <c r="B8" t="s">
        <v>36</v>
      </c>
    </row>
    <row r="9" spans="1:6" ht="15" hidden="1" customHeight="1" thickBot="1" x14ac:dyDescent="0.3">
      <c r="B9" s="128">
        <v>644002</v>
      </c>
    </row>
    <row r="10" spans="1:6" ht="15" hidden="1" customHeight="1" x14ac:dyDescent="0.25"/>
    <row r="11" spans="1:6" ht="16.5" customHeight="1" x14ac:dyDescent="0.25"/>
    <row r="12" spans="1:6" ht="15" customHeight="1" thickBot="1" x14ac:dyDescent="0.3">
      <c r="B12" t="s">
        <v>12</v>
      </c>
    </row>
    <row r="13" spans="1:6" ht="15" customHeight="1" thickBot="1" x14ac:dyDescent="0.3">
      <c r="B13" s="157"/>
      <c r="C13" s="176"/>
      <c r="D13" s="176"/>
      <c r="E13" s="176"/>
      <c r="F13" s="158"/>
    </row>
    <row r="14" spans="1:6" ht="15" customHeight="1" x14ac:dyDescent="0.25"/>
    <row r="15" spans="1:6" ht="15.75" thickBot="1" x14ac:dyDescent="0.3">
      <c r="B15" t="s">
        <v>1</v>
      </c>
      <c r="E15" t="s">
        <v>171</v>
      </c>
    </row>
    <row r="16" spans="1:6" ht="15.75" thickBot="1" x14ac:dyDescent="0.3">
      <c r="B16" s="157"/>
      <c r="C16" s="158"/>
      <c r="D16" s="51"/>
      <c r="E16" s="159"/>
      <c r="F16" s="160"/>
    </row>
    <row r="17" spans="2:10" ht="15" customHeight="1" x14ac:dyDescent="0.25"/>
    <row r="18" spans="2:10" x14ac:dyDescent="0.25">
      <c r="B18" t="s">
        <v>2</v>
      </c>
    </row>
    <row r="19" spans="2:10" ht="15.75" thickBot="1" x14ac:dyDescent="0.3">
      <c r="B19" t="s">
        <v>3</v>
      </c>
      <c r="D19" t="s">
        <v>4</v>
      </c>
      <c r="F19" t="s">
        <v>5</v>
      </c>
    </row>
    <row r="20" spans="2:10" ht="15.75" thickBot="1" x14ac:dyDescent="0.3">
      <c r="B20" s="37"/>
      <c r="D20" s="37"/>
      <c r="F20" s="37"/>
    </row>
    <row r="21" spans="2:10" ht="7.5" customHeight="1" x14ac:dyDescent="0.25"/>
    <row r="22" spans="2:10" ht="15.75" thickBot="1" x14ac:dyDescent="0.3">
      <c r="B22" t="s">
        <v>6</v>
      </c>
      <c r="D22" t="s">
        <v>7</v>
      </c>
      <c r="F22" t="s">
        <v>8</v>
      </c>
    </row>
    <row r="23" spans="2:10" ht="15.75" thickBot="1" x14ac:dyDescent="0.3">
      <c r="B23" s="127"/>
      <c r="D23" s="38"/>
      <c r="F23" s="37"/>
    </row>
    <row r="24" spans="2:10" ht="15" customHeight="1" x14ac:dyDescent="0.25"/>
    <row r="25" spans="2:10" x14ac:dyDescent="0.25">
      <c r="B25" t="s">
        <v>15</v>
      </c>
    </row>
    <row r="26" spans="2:10" ht="15.75" thickBot="1" x14ac:dyDescent="0.3">
      <c r="B26" t="s">
        <v>9</v>
      </c>
      <c r="D26" t="s">
        <v>10</v>
      </c>
    </row>
    <row r="27" spans="2:10" ht="15.75" thickBot="1" x14ac:dyDescent="0.3">
      <c r="B27" s="37"/>
      <c r="D27" s="37"/>
    </row>
    <row r="28" spans="2:10" x14ac:dyDescent="0.25">
      <c r="B28" s="6"/>
      <c r="J28" s="114"/>
    </row>
    <row r="29" spans="2:10" x14ac:dyDescent="0.25">
      <c r="B29" s="6"/>
      <c r="F29" s="3"/>
      <c r="J29" s="114"/>
    </row>
    <row r="30" spans="2:10" x14ac:dyDescent="0.25">
      <c r="B30" s="6"/>
      <c r="F30" s="3"/>
      <c r="J30" s="114"/>
    </row>
    <row r="31" spans="2:10" ht="15.75" thickBot="1" x14ac:dyDescent="0.3">
      <c r="B31" s="7" t="s">
        <v>19</v>
      </c>
      <c r="F31" s="3"/>
      <c r="J31" s="114"/>
    </row>
    <row r="32" spans="2:10" ht="15.75" thickBot="1" x14ac:dyDescent="0.3">
      <c r="B32" s="161"/>
      <c r="C32" s="162"/>
      <c r="F32" s="3"/>
      <c r="J32" s="114"/>
    </row>
    <row r="33" spans="1:10" x14ac:dyDescent="0.25">
      <c r="F33" s="3"/>
      <c r="J33" s="114"/>
    </row>
    <row r="34" spans="1:10" ht="15" customHeight="1" x14ac:dyDescent="0.25">
      <c r="F34" s="3"/>
      <c r="J34" s="115"/>
    </row>
    <row r="35" spans="1:10" ht="15" customHeight="1" x14ac:dyDescent="0.25"/>
    <row r="36" spans="1:10" ht="15.75" thickBot="1" x14ac:dyDescent="0.3">
      <c r="B36" t="s">
        <v>11</v>
      </c>
      <c r="J36" s="198"/>
    </row>
    <row r="37" spans="1:10" ht="15.75" thickBot="1" x14ac:dyDescent="0.3">
      <c r="B37" s="157"/>
      <c r="C37" s="176"/>
      <c r="D37" s="176"/>
      <c r="E37" s="176"/>
      <c r="F37" s="158"/>
      <c r="J37" s="198"/>
    </row>
    <row r="38" spans="1:10" x14ac:dyDescent="0.25">
      <c r="J38" s="116"/>
    </row>
    <row r="39" spans="1:10" x14ac:dyDescent="0.25">
      <c r="J39" s="116"/>
    </row>
    <row r="40" spans="1:10" ht="18.75" x14ac:dyDescent="0.3">
      <c r="A40" s="11" t="s">
        <v>235</v>
      </c>
      <c r="B40" s="11"/>
      <c r="C40" s="11"/>
      <c r="D40" s="11"/>
      <c r="E40" s="54"/>
      <c r="F40" s="54"/>
      <c r="G40" s="12"/>
      <c r="H40" s="108"/>
      <c r="J40" s="116"/>
    </row>
    <row r="41" spans="1:10" x14ac:dyDescent="0.25">
      <c r="J41" s="116"/>
    </row>
    <row r="42" spans="1:10" ht="15.75" thickBot="1" x14ac:dyDescent="0.3">
      <c r="B42" s="1" t="s">
        <v>21</v>
      </c>
      <c r="J42" s="116"/>
    </row>
    <row r="43" spans="1:10" ht="15.75" thickBot="1" x14ac:dyDescent="0.3">
      <c r="B43" s="219"/>
      <c r="C43" s="220"/>
      <c r="D43" s="220"/>
      <c r="E43" s="220"/>
      <c r="F43" s="221"/>
      <c r="J43" s="114"/>
    </row>
    <row r="44" spans="1:10" x14ac:dyDescent="0.25">
      <c r="J44" s="116"/>
    </row>
    <row r="45" spans="1:10" ht="15.75" thickBot="1" x14ac:dyDescent="0.3">
      <c r="B45" s="15" t="s">
        <v>180</v>
      </c>
      <c r="C45" s="16"/>
      <c r="D45" s="16"/>
      <c r="E45" s="16"/>
      <c r="F45" s="16"/>
      <c r="J45" s="116"/>
    </row>
    <row r="46" spans="1:10" ht="15.75" thickBot="1" x14ac:dyDescent="0.3">
      <c r="B46" s="206"/>
      <c r="C46" s="207"/>
      <c r="D46" s="207"/>
      <c r="E46" s="207"/>
      <c r="F46" s="208"/>
      <c r="J46" s="114"/>
    </row>
    <row r="47" spans="1:10" x14ac:dyDescent="0.25">
      <c r="B47" s="16"/>
      <c r="C47" s="16"/>
      <c r="D47" s="16"/>
      <c r="E47" s="16"/>
      <c r="F47" s="16"/>
      <c r="J47" s="116"/>
    </row>
    <row r="48" spans="1:10" ht="15.75" thickBot="1" x14ac:dyDescent="0.3">
      <c r="B48" s="15" t="s">
        <v>268</v>
      </c>
      <c r="C48" s="16"/>
      <c r="D48" s="16"/>
      <c r="E48" s="16"/>
      <c r="F48" s="16"/>
      <c r="J48" s="116"/>
    </row>
    <row r="49" spans="1:17" ht="15.75" thickBot="1" x14ac:dyDescent="0.3">
      <c r="B49" s="206"/>
      <c r="C49" s="207"/>
      <c r="D49" s="207"/>
      <c r="E49" s="207"/>
      <c r="F49" s="208"/>
      <c r="J49" s="114"/>
    </row>
    <row r="50" spans="1:17" x14ac:dyDescent="0.25">
      <c r="B50" s="16"/>
      <c r="C50" s="16"/>
      <c r="D50" s="16"/>
      <c r="E50" s="16"/>
      <c r="F50" s="16"/>
      <c r="J50" s="116"/>
    </row>
    <row r="51" spans="1:17" ht="15.75" thickBot="1" x14ac:dyDescent="0.3">
      <c r="B51" s="15" t="s">
        <v>269</v>
      </c>
      <c r="C51" s="16"/>
      <c r="D51" s="16"/>
      <c r="E51" s="16"/>
      <c r="F51" s="16"/>
      <c r="J51" s="116"/>
    </row>
    <row r="52" spans="1:17" ht="15.75" thickBot="1" x14ac:dyDescent="0.3">
      <c r="B52" s="206"/>
      <c r="C52" s="207"/>
      <c r="D52" s="207"/>
      <c r="E52" s="207"/>
      <c r="F52" s="208"/>
      <c r="J52" s="114"/>
    </row>
    <row r="53" spans="1:17" x14ac:dyDescent="0.25">
      <c r="B53" s="16"/>
      <c r="C53" s="16"/>
      <c r="D53" s="16"/>
      <c r="E53" s="16"/>
      <c r="F53" s="16"/>
      <c r="J53" s="116"/>
    </row>
    <row r="54" spans="1:17" ht="15.75" thickBot="1" x14ac:dyDescent="0.3">
      <c r="B54" s="15" t="s">
        <v>170</v>
      </c>
      <c r="C54" s="16"/>
      <c r="D54" s="16"/>
      <c r="E54" s="16"/>
      <c r="F54" s="16"/>
      <c r="J54" s="116"/>
    </row>
    <row r="55" spans="1:17" ht="15.75" thickBot="1" x14ac:dyDescent="0.3">
      <c r="B55" s="209"/>
      <c r="C55" s="210"/>
      <c r="D55" s="210"/>
      <c r="E55" s="210"/>
      <c r="F55" s="211"/>
      <c r="J55" s="114"/>
    </row>
    <row r="56" spans="1:17" x14ac:dyDescent="0.25">
      <c r="B56" s="16"/>
      <c r="C56" s="16"/>
      <c r="D56" s="16"/>
      <c r="E56" s="16"/>
      <c r="F56" s="16"/>
    </row>
    <row r="57" spans="1:17" ht="15.75" thickBot="1" x14ac:dyDescent="0.3">
      <c r="B57" s="15" t="s">
        <v>183</v>
      </c>
      <c r="C57" s="16"/>
      <c r="D57" s="16"/>
      <c r="E57" s="16"/>
      <c r="F57" s="16"/>
      <c r="H57" s="105"/>
      <c r="I57" s="105"/>
      <c r="J57" s="105"/>
      <c r="K57" s="105"/>
      <c r="L57" s="105"/>
      <c r="M57" s="105"/>
      <c r="N57" s="105"/>
      <c r="O57" s="105"/>
      <c r="P57" s="105"/>
      <c r="Q57" s="105"/>
    </row>
    <row r="58" spans="1:17" ht="15.75" thickBot="1" x14ac:dyDescent="0.3">
      <c r="B58" s="201" t="str">
        <f>IFERROR((B49 + (B52*B46/B55))*1000*1.2,"Vyplňte formulár kompletne")</f>
        <v>Vyplňte formulár kompletne</v>
      </c>
      <c r="C58" s="202"/>
      <c r="D58" s="202"/>
      <c r="E58" s="202"/>
      <c r="F58" s="203"/>
      <c r="G58" s="14"/>
    </row>
    <row r="59" spans="1:17" x14ac:dyDescent="0.25">
      <c r="B59" s="57"/>
      <c r="C59" s="57"/>
      <c r="D59" s="57"/>
      <c r="E59" s="57"/>
      <c r="F59" s="57"/>
      <c r="G59" s="14"/>
      <c r="J59" s="116"/>
    </row>
    <row r="60" spans="1:17" x14ac:dyDescent="0.25">
      <c r="B60" s="16"/>
      <c r="C60" s="16"/>
      <c r="D60" s="16"/>
      <c r="E60" s="16"/>
      <c r="F60" s="16"/>
      <c r="J60" s="116"/>
    </row>
    <row r="61" spans="1:17" ht="18.75" x14ac:dyDescent="0.3">
      <c r="A61" s="11" t="s">
        <v>271</v>
      </c>
      <c r="B61" s="17"/>
      <c r="C61" s="17"/>
      <c r="D61" s="17"/>
      <c r="E61" s="18"/>
      <c r="F61" s="18"/>
      <c r="J61" s="116"/>
    </row>
    <row r="62" spans="1:17" x14ac:dyDescent="0.25">
      <c r="A62" s="225" t="s">
        <v>245</v>
      </c>
      <c r="B62" s="16"/>
      <c r="C62" s="16"/>
      <c r="D62" s="16"/>
      <c r="E62" s="16"/>
      <c r="F62" s="16"/>
      <c r="J62" s="116"/>
    </row>
    <row r="63" spans="1:17" ht="32.25" thickBot="1" x14ac:dyDescent="0.3">
      <c r="A63" s="225"/>
      <c r="B63" s="48" t="s">
        <v>21</v>
      </c>
      <c r="C63" s="49"/>
      <c r="D63" s="49"/>
      <c r="E63" s="125" t="s">
        <v>272</v>
      </c>
      <c r="F63" s="125" t="s">
        <v>303</v>
      </c>
      <c r="J63" s="116"/>
    </row>
    <row r="64" spans="1:17" ht="15.75" thickBot="1" x14ac:dyDescent="0.3">
      <c r="A64" s="225"/>
      <c r="B64" s="204"/>
      <c r="C64" s="205"/>
      <c r="D64" s="45"/>
      <c r="E64" s="103"/>
      <c r="F64" s="104"/>
      <c r="J64" s="114"/>
    </row>
    <row r="65" spans="1:10" x14ac:dyDescent="0.25">
      <c r="A65" s="225"/>
      <c r="B65" s="16"/>
      <c r="C65" s="16"/>
      <c r="D65" s="16"/>
      <c r="E65" s="16"/>
      <c r="F65" s="16"/>
      <c r="J65" s="116"/>
    </row>
    <row r="66" spans="1:10" ht="15.75" thickBot="1" x14ac:dyDescent="0.3">
      <c r="A66" s="225"/>
      <c r="B66" s="15" t="s">
        <v>180</v>
      </c>
      <c r="C66" s="16"/>
      <c r="D66" s="16"/>
      <c r="E66" s="16"/>
      <c r="F66" s="16"/>
      <c r="J66" s="116"/>
    </row>
    <row r="67" spans="1:10" ht="15.75" thickBot="1" x14ac:dyDescent="0.3">
      <c r="A67" s="225"/>
      <c r="B67" s="206"/>
      <c r="C67" s="207"/>
      <c r="D67" s="207"/>
      <c r="E67" s="207"/>
      <c r="F67" s="208"/>
      <c r="J67" s="114"/>
    </row>
    <row r="68" spans="1:10" ht="7.5" customHeight="1" x14ac:dyDescent="0.25">
      <c r="A68" s="225"/>
      <c r="B68" s="16"/>
      <c r="C68" s="16"/>
      <c r="D68" s="16"/>
      <c r="E68" s="16"/>
      <c r="F68" s="16"/>
      <c r="J68" s="116"/>
    </row>
    <row r="69" spans="1:10" ht="15.75" thickBot="1" x14ac:dyDescent="0.3">
      <c r="A69" s="225"/>
      <c r="B69" s="15" t="s">
        <v>181</v>
      </c>
      <c r="C69" s="16"/>
      <c r="D69" s="16"/>
      <c r="E69" s="16"/>
      <c r="F69" s="16"/>
      <c r="J69" s="116"/>
    </row>
    <row r="70" spans="1:10" ht="15.75" customHeight="1" thickBot="1" x14ac:dyDescent="0.3">
      <c r="A70" s="225"/>
      <c r="B70" s="206"/>
      <c r="C70" s="207"/>
      <c r="D70" s="207"/>
      <c r="E70" s="207"/>
      <c r="F70" s="208"/>
      <c r="J70" s="114"/>
    </row>
    <row r="71" spans="1:10" ht="16.5" customHeight="1" x14ac:dyDescent="0.25">
      <c r="A71" s="225"/>
      <c r="B71" s="16"/>
      <c r="C71" s="16"/>
      <c r="D71" s="16"/>
      <c r="E71" s="16"/>
      <c r="F71" s="16"/>
      <c r="J71" s="116"/>
    </row>
    <row r="72" spans="1:10" ht="15.75" thickBot="1" x14ac:dyDescent="0.3">
      <c r="A72" s="225"/>
      <c r="B72" s="15" t="s">
        <v>182</v>
      </c>
      <c r="C72" s="16"/>
      <c r="D72" s="16"/>
      <c r="E72" s="16"/>
      <c r="F72" s="16"/>
      <c r="J72" s="116"/>
    </row>
    <row r="73" spans="1:10" ht="15.75" thickBot="1" x14ac:dyDescent="0.3">
      <c r="A73" s="225"/>
      <c r="B73" s="206"/>
      <c r="C73" s="207"/>
      <c r="D73" s="207"/>
      <c r="E73" s="207"/>
      <c r="F73" s="208"/>
      <c r="J73" s="114"/>
    </row>
    <row r="74" spans="1:10" ht="8.25" customHeight="1" x14ac:dyDescent="0.25">
      <c r="A74" s="225"/>
      <c r="B74" s="16"/>
      <c r="C74" s="16"/>
      <c r="D74" s="16"/>
      <c r="E74" s="16"/>
      <c r="F74" s="16"/>
      <c r="J74" s="116"/>
    </row>
    <row r="75" spans="1:10" ht="15.75" thickBot="1" x14ac:dyDescent="0.3">
      <c r="A75" s="225"/>
      <c r="B75" s="15" t="s">
        <v>172</v>
      </c>
      <c r="C75" s="16"/>
      <c r="D75" s="16"/>
      <c r="E75" s="16"/>
      <c r="F75" s="16"/>
      <c r="J75" s="116"/>
    </row>
    <row r="76" spans="1:10" ht="15.75" thickBot="1" x14ac:dyDescent="0.3">
      <c r="A76" s="225"/>
      <c r="B76" s="209"/>
      <c r="C76" s="210"/>
      <c r="D76" s="210"/>
      <c r="E76" s="210"/>
      <c r="F76" s="211"/>
      <c r="J76" s="114"/>
    </row>
    <row r="77" spans="1:10" ht="7.5" customHeight="1" x14ac:dyDescent="0.25">
      <c r="A77" s="225"/>
      <c r="B77" s="47"/>
      <c r="C77" s="47"/>
      <c r="D77" s="47"/>
      <c r="E77" s="47"/>
      <c r="F77" s="47"/>
      <c r="J77" s="114"/>
    </row>
    <row r="78" spans="1:10" ht="20.25" customHeight="1" thickBot="1" x14ac:dyDescent="0.3">
      <c r="A78" s="225"/>
      <c r="B78" s="229" t="s">
        <v>310</v>
      </c>
      <c r="C78" s="229"/>
      <c r="D78" s="229"/>
      <c r="E78" s="229"/>
      <c r="F78" s="229"/>
      <c r="H78" s="123"/>
      <c r="J78" s="114"/>
    </row>
    <row r="79" spans="1:10" ht="18" customHeight="1" thickBot="1" x14ac:dyDescent="0.3">
      <c r="A79" s="225"/>
      <c r="B79" s="209"/>
      <c r="C79" s="210"/>
      <c r="D79" s="210"/>
      <c r="E79" s="210"/>
      <c r="F79" s="211"/>
      <c r="H79" s="124"/>
      <c r="J79" s="116"/>
    </row>
    <row r="80" spans="1:10" ht="9.75" customHeight="1" x14ac:dyDescent="0.25">
      <c r="A80" s="225"/>
      <c r="B80" s="50"/>
      <c r="C80" s="50"/>
      <c r="D80" s="50"/>
      <c r="E80" s="50"/>
      <c r="F80" s="50"/>
      <c r="J80" s="116"/>
    </row>
    <row r="81" spans="1:10" ht="15.75" customHeight="1" thickBot="1" x14ac:dyDescent="0.3">
      <c r="A81" s="225"/>
      <c r="B81" s="15" t="s">
        <v>306</v>
      </c>
      <c r="C81" s="16"/>
      <c r="D81" s="16"/>
      <c r="E81" s="16"/>
      <c r="F81" s="16"/>
      <c r="J81" s="198"/>
    </row>
    <row r="82" spans="1:10" ht="15.75" customHeight="1" thickBot="1" x14ac:dyDescent="0.3">
      <c r="A82" s="225"/>
      <c r="B82" s="201" t="str">
        <f>IFERROR((B70 + (B73*B67/B76))*1000*1.23,"Vyplňte formulár kompletne")</f>
        <v>Vyplňte formulár kompletne</v>
      </c>
      <c r="C82" s="202"/>
      <c r="D82" s="202"/>
      <c r="E82" s="202"/>
      <c r="F82" s="203"/>
      <c r="G82" s="14"/>
      <c r="J82" s="198"/>
    </row>
    <row r="83" spans="1:10" ht="7.5" customHeight="1" x14ac:dyDescent="0.25">
      <c r="A83" s="225"/>
      <c r="B83" s="46"/>
      <c r="C83" s="46"/>
      <c r="D83" s="46"/>
      <c r="E83" s="46"/>
      <c r="F83" s="46"/>
      <c r="G83" s="14"/>
      <c r="J83" s="116"/>
    </row>
    <row r="84" spans="1:10" ht="15.75" customHeight="1" thickBot="1" x14ac:dyDescent="0.3">
      <c r="A84" s="225"/>
      <c r="B84" s="15" t="s">
        <v>257</v>
      </c>
      <c r="C84" s="15"/>
      <c r="D84" s="15"/>
      <c r="E84" s="15"/>
      <c r="F84" s="15"/>
      <c r="G84" s="14"/>
      <c r="J84" s="116"/>
    </row>
    <row r="85" spans="1:10" ht="16.5" customHeight="1" thickBot="1" x14ac:dyDescent="0.3">
      <c r="A85" s="225"/>
      <c r="B85" s="201" t="str">
        <f>IFERROR(B148/1.23/1000-(B73*B67)/B76,"Vyplňte formulár kompletne")</f>
        <v>Vyplňte formulár kompletne</v>
      </c>
      <c r="C85" s="202"/>
      <c r="D85" s="202"/>
      <c r="E85" s="202"/>
      <c r="F85" s="203"/>
      <c r="G85" s="14"/>
      <c r="J85" s="116"/>
    </row>
    <row r="86" spans="1:10" ht="8.25" customHeight="1" x14ac:dyDescent="0.25">
      <c r="A86" s="225"/>
      <c r="B86" s="15"/>
      <c r="C86" s="46"/>
      <c r="D86" s="46"/>
      <c r="E86" s="46"/>
      <c r="F86" s="46"/>
      <c r="G86" s="14"/>
      <c r="J86" s="116"/>
    </row>
    <row r="87" spans="1:10" ht="18" customHeight="1" thickBot="1" x14ac:dyDescent="0.3">
      <c r="A87" s="225"/>
      <c r="B87" s="228" t="s">
        <v>260</v>
      </c>
      <c r="C87" s="228"/>
      <c r="D87" s="228"/>
      <c r="E87" s="228"/>
      <c r="F87" s="228"/>
      <c r="G87" s="14"/>
      <c r="J87" s="116"/>
    </row>
    <row r="88" spans="1:10" ht="16.5" customHeight="1" thickBot="1" x14ac:dyDescent="0.3">
      <c r="A88" s="225"/>
      <c r="B88" s="199" t="str">
        <f>IFERROR((MIN(B82-B148)*B79/1000 )* SUMIFS(Hárok2!$C$2:$C$13, Hárok2!$B$2:$B$13, "&gt;=" &amp; MONTH(DATEVALUE(TEXT(E64, "mmmm") &amp; " 1")), Hárok2!$B$2:$B$13, "&lt;=" &amp; MONTH(DATEVALUE(TEXT(F64, "mmmm") &amp; " 1"))),"Vyplňte formulár kompletne")</f>
        <v>Vyplňte formulár kompletne</v>
      </c>
      <c r="C88" s="218"/>
      <c r="D88" s="60"/>
      <c r="E88" s="60"/>
      <c r="F88" s="61"/>
      <c r="G88" s="78"/>
      <c r="H88" s="109"/>
      <c r="J88" s="116"/>
    </row>
    <row r="89" spans="1:10" ht="27" customHeight="1" thickBot="1" x14ac:dyDescent="0.3">
      <c r="A89" s="226"/>
      <c r="B89" s="119"/>
      <c r="C89" s="119"/>
      <c r="D89" s="119"/>
      <c r="E89" s="119"/>
      <c r="F89" s="119"/>
      <c r="G89" s="63"/>
      <c r="J89" s="116"/>
    </row>
    <row r="90" spans="1:10" ht="33.75" customHeight="1" thickBot="1" x14ac:dyDescent="0.3">
      <c r="A90" s="227" t="s">
        <v>246</v>
      </c>
      <c r="B90" s="48" t="s">
        <v>21</v>
      </c>
      <c r="C90" s="49"/>
      <c r="D90" s="49"/>
      <c r="E90" s="125" t="s">
        <v>272</v>
      </c>
      <c r="F90" s="125" t="s">
        <v>304</v>
      </c>
      <c r="G90" s="14"/>
      <c r="J90" s="116"/>
    </row>
    <row r="91" spans="1:10" ht="15.75" customHeight="1" thickBot="1" x14ac:dyDescent="0.3">
      <c r="A91" s="225"/>
      <c r="B91" s="204"/>
      <c r="C91" s="205"/>
      <c r="D91" s="45"/>
      <c r="E91" s="103"/>
      <c r="F91" s="103"/>
      <c r="G91" s="14"/>
      <c r="J91" s="116"/>
    </row>
    <row r="92" spans="1:10" ht="9.75" customHeight="1" x14ac:dyDescent="0.25">
      <c r="A92" s="225"/>
      <c r="B92" s="16"/>
      <c r="C92" s="16"/>
      <c r="D92" s="16"/>
      <c r="E92" s="16"/>
      <c r="F92" s="16"/>
      <c r="G92" s="14"/>
      <c r="J92" s="116"/>
    </row>
    <row r="93" spans="1:10" ht="15.75" customHeight="1" thickBot="1" x14ac:dyDescent="0.3">
      <c r="A93" s="225"/>
      <c r="B93" s="15" t="s">
        <v>180</v>
      </c>
      <c r="C93" s="16"/>
      <c r="D93" s="16"/>
      <c r="E93" s="16"/>
      <c r="F93" s="16"/>
      <c r="G93" s="14"/>
      <c r="J93" s="116"/>
    </row>
    <row r="94" spans="1:10" ht="15.75" customHeight="1" thickBot="1" x14ac:dyDescent="0.3">
      <c r="A94" s="225"/>
      <c r="B94" s="206"/>
      <c r="C94" s="207"/>
      <c r="D94" s="207"/>
      <c r="E94" s="207"/>
      <c r="F94" s="208"/>
      <c r="G94" s="14"/>
      <c r="J94" s="116"/>
    </row>
    <row r="95" spans="1:10" ht="10.5" customHeight="1" x14ac:dyDescent="0.25">
      <c r="A95" s="225"/>
      <c r="B95" s="16"/>
      <c r="C95" s="16"/>
      <c r="D95" s="16"/>
      <c r="E95" s="16"/>
      <c r="F95" s="16"/>
      <c r="G95" s="14"/>
      <c r="J95" s="116"/>
    </row>
    <row r="96" spans="1:10" ht="15.75" customHeight="1" thickBot="1" x14ac:dyDescent="0.3">
      <c r="A96" s="225"/>
      <c r="B96" s="15" t="s">
        <v>268</v>
      </c>
      <c r="C96" s="16"/>
      <c r="D96" s="16"/>
      <c r="E96" s="16"/>
      <c r="F96" s="16"/>
      <c r="G96" s="14"/>
      <c r="J96" s="116"/>
    </row>
    <row r="97" spans="1:10" ht="15.75" customHeight="1" thickBot="1" x14ac:dyDescent="0.3">
      <c r="A97" s="225"/>
      <c r="B97" s="206"/>
      <c r="C97" s="207"/>
      <c r="D97" s="207"/>
      <c r="E97" s="207"/>
      <c r="F97" s="208"/>
      <c r="G97" s="14"/>
      <c r="J97" s="116"/>
    </row>
    <row r="98" spans="1:10" ht="9.75" customHeight="1" x14ac:dyDescent="0.25">
      <c r="A98" s="225"/>
      <c r="B98" s="16"/>
      <c r="C98" s="16"/>
      <c r="D98" s="16"/>
      <c r="E98" s="16"/>
      <c r="F98" s="16"/>
      <c r="G98" s="14"/>
      <c r="J98" s="116"/>
    </row>
    <row r="99" spans="1:10" ht="15.75" customHeight="1" thickBot="1" x14ac:dyDescent="0.3">
      <c r="A99" s="225"/>
      <c r="B99" s="15" t="s">
        <v>269</v>
      </c>
      <c r="C99" s="16"/>
      <c r="D99" s="16"/>
      <c r="E99" s="16"/>
      <c r="F99" s="16"/>
      <c r="G99" s="14"/>
      <c r="J99" s="116"/>
    </row>
    <row r="100" spans="1:10" ht="15.75" customHeight="1" thickBot="1" x14ac:dyDescent="0.3">
      <c r="A100" s="225"/>
      <c r="B100" s="206"/>
      <c r="C100" s="207"/>
      <c r="D100" s="207"/>
      <c r="E100" s="207"/>
      <c r="F100" s="208"/>
      <c r="G100" s="14"/>
      <c r="J100" s="116"/>
    </row>
    <row r="101" spans="1:10" ht="9.75" customHeight="1" x14ac:dyDescent="0.25">
      <c r="A101" s="225"/>
      <c r="B101" s="16"/>
      <c r="C101" s="16"/>
      <c r="D101" s="16"/>
      <c r="E101" s="16"/>
      <c r="F101" s="16"/>
      <c r="G101" s="14"/>
      <c r="J101" s="116"/>
    </row>
    <row r="102" spans="1:10" ht="15.75" customHeight="1" thickBot="1" x14ac:dyDescent="0.3">
      <c r="A102" s="225"/>
      <c r="B102" s="15" t="s">
        <v>172</v>
      </c>
      <c r="C102" s="16"/>
      <c r="D102" s="16"/>
      <c r="E102" s="16"/>
      <c r="F102" s="16"/>
      <c r="G102" s="14"/>
      <c r="J102" s="116"/>
    </row>
    <row r="103" spans="1:10" ht="15.75" customHeight="1" thickBot="1" x14ac:dyDescent="0.3">
      <c r="A103" s="225"/>
      <c r="B103" s="209"/>
      <c r="C103" s="210"/>
      <c r="D103" s="210"/>
      <c r="E103" s="210"/>
      <c r="F103" s="211"/>
      <c r="G103" s="14"/>
      <c r="J103" s="116"/>
    </row>
    <row r="104" spans="1:10" ht="9.75" customHeight="1" x14ac:dyDescent="0.25">
      <c r="A104" s="225"/>
      <c r="B104" s="47"/>
      <c r="C104" s="47"/>
      <c r="D104" s="47"/>
      <c r="E104" s="47"/>
      <c r="F104" s="47"/>
      <c r="G104" s="14"/>
      <c r="J104" s="116"/>
    </row>
    <row r="105" spans="1:10" ht="18" customHeight="1" thickBot="1" x14ac:dyDescent="0.3">
      <c r="A105" s="225"/>
      <c r="B105" s="229" t="s">
        <v>311</v>
      </c>
      <c r="C105" s="229"/>
      <c r="D105" s="229"/>
      <c r="E105" s="229"/>
      <c r="F105" s="229"/>
      <c r="G105" s="14"/>
      <c r="J105" s="116"/>
    </row>
    <row r="106" spans="1:10" ht="15.75" customHeight="1" thickBot="1" x14ac:dyDescent="0.3">
      <c r="A106" s="225"/>
      <c r="B106" s="209"/>
      <c r="C106" s="210"/>
      <c r="D106" s="210"/>
      <c r="E106" s="210"/>
      <c r="F106" s="211"/>
      <c r="G106" s="14"/>
      <c r="J106" s="116"/>
    </row>
    <row r="107" spans="1:10" ht="11.25" customHeight="1" x14ac:dyDescent="0.25">
      <c r="A107" s="225"/>
      <c r="B107" s="50"/>
      <c r="C107" s="50"/>
      <c r="D107" s="50"/>
      <c r="E107" s="50"/>
      <c r="F107" s="50"/>
      <c r="G107" s="14"/>
      <c r="J107" s="116"/>
    </row>
    <row r="108" spans="1:10" ht="15.75" customHeight="1" thickBot="1" x14ac:dyDescent="0.3">
      <c r="A108" s="225"/>
      <c r="B108" s="15" t="s">
        <v>306</v>
      </c>
      <c r="C108" s="16"/>
      <c r="D108" s="16"/>
      <c r="E108" s="16"/>
      <c r="F108" s="16"/>
      <c r="G108" s="14"/>
      <c r="J108" s="116"/>
    </row>
    <row r="109" spans="1:10" ht="15.75" customHeight="1" thickBot="1" x14ac:dyDescent="0.3">
      <c r="A109" s="225"/>
      <c r="B109" s="201" t="str">
        <f>IFERROR((B97 + (B100*B94/B103))*1000*1.23,"0")</f>
        <v>0</v>
      </c>
      <c r="C109" s="202"/>
      <c r="D109" s="202"/>
      <c r="E109" s="202"/>
      <c r="F109" s="203"/>
      <c r="G109" s="14"/>
      <c r="J109" s="116"/>
    </row>
    <row r="110" spans="1:10" ht="9" customHeight="1" x14ac:dyDescent="0.25">
      <c r="A110" s="225"/>
      <c r="B110" s="46"/>
      <c r="C110" s="46"/>
      <c r="D110" s="46"/>
      <c r="E110" s="46"/>
      <c r="F110" s="46"/>
      <c r="G110" s="14"/>
      <c r="J110" s="116"/>
    </row>
    <row r="111" spans="1:10" ht="20.100000000000001" customHeight="1" thickBot="1" x14ac:dyDescent="0.3">
      <c r="A111" s="225"/>
      <c r="B111" s="15" t="s">
        <v>257</v>
      </c>
      <c r="C111" s="15"/>
      <c r="D111" s="15"/>
      <c r="E111" s="15"/>
      <c r="F111" s="15"/>
      <c r="G111" s="14"/>
      <c r="J111" s="116"/>
    </row>
    <row r="112" spans="1:10" ht="15" customHeight="1" thickBot="1" x14ac:dyDescent="0.3">
      <c r="A112" s="225"/>
      <c r="B112" s="201" t="str">
        <f>IFERROR(B148/1.23/1000-(B94*B100)/B103,"0")</f>
        <v>0</v>
      </c>
      <c r="C112" s="202"/>
      <c r="D112" s="202"/>
      <c r="E112" s="202"/>
      <c r="F112" s="203"/>
      <c r="G112" s="14"/>
      <c r="J112" s="116"/>
    </row>
    <row r="113" spans="1:10" ht="9" customHeight="1" x14ac:dyDescent="0.25">
      <c r="A113" s="225"/>
      <c r="B113" s="15"/>
      <c r="C113" s="46"/>
      <c r="D113" s="46"/>
      <c r="E113" s="46"/>
      <c r="F113" s="46"/>
      <c r="G113" s="14"/>
      <c r="J113" s="116"/>
    </row>
    <row r="114" spans="1:10" ht="20.25" customHeight="1" thickBot="1" x14ac:dyDescent="0.3">
      <c r="A114" s="225"/>
      <c r="B114" s="228" t="s">
        <v>261</v>
      </c>
      <c r="C114" s="228"/>
      <c r="D114" s="228"/>
      <c r="E114" s="228"/>
      <c r="F114" s="228"/>
      <c r="G114" s="14"/>
      <c r="J114" s="116"/>
    </row>
    <row r="115" spans="1:10" ht="17.25" customHeight="1" thickBot="1" x14ac:dyDescent="0.3">
      <c r="A115" s="225"/>
      <c r="B115" s="199" t="str">
        <f>IFERROR((MIN(B109-B148)*B106/1000 )* SUMIFS(Hárok2!$C$2:$C$13, Hárok2!$B$2:$B$13, "&gt;=" &amp; MONTH(DATEVALUE(TEXT(E91, "mmmm") &amp; " 1")), Hárok2!$B$2:$B$13, "&lt;=" &amp; MONTH(DATEVALUE(TEXT(F91, "mmmm") &amp; " 1"))),"0")</f>
        <v>0</v>
      </c>
      <c r="C115" s="218"/>
      <c r="D115" s="60"/>
      <c r="E115" s="60"/>
      <c r="F115" s="61"/>
      <c r="G115" s="14"/>
      <c r="J115" s="116"/>
    </row>
    <row r="116" spans="1:10" ht="28.5" customHeight="1" thickBot="1" x14ac:dyDescent="0.3">
      <c r="A116" s="226"/>
      <c r="B116" s="120"/>
      <c r="C116" s="120"/>
      <c r="D116" s="120"/>
      <c r="E116" s="120"/>
      <c r="F116" s="120"/>
      <c r="G116" s="14"/>
      <c r="J116" s="116"/>
    </row>
    <row r="117" spans="1:10" ht="33" customHeight="1" thickBot="1" x14ac:dyDescent="0.3">
      <c r="A117" s="227" t="s">
        <v>247</v>
      </c>
      <c r="B117" s="48" t="s">
        <v>21</v>
      </c>
      <c r="C117" s="49"/>
      <c r="D117" s="49"/>
      <c r="E117" s="125" t="s">
        <v>272</v>
      </c>
      <c r="F117" s="125" t="s">
        <v>305</v>
      </c>
      <c r="G117" s="14"/>
      <c r="J117" s="116"/>
    </row>
    <row r="118" spans="1:10" ht="15.75" customHeight="1" thickBot="1" x14ac:dyDescent="0.3">
      <c r="A118" s="225"/>
      <c r="B118" s="204"/>
      <c r="C118" s="205"/>
      <c r="D118" s="45"/>
      <c r="E118" s="103"/>
      <c r="F118" s="103"/>
      <c r="G118" s="14"/>
      <c r="J118" s="116"/>
    </row>
    <row r="119" spans="1:10" ht="9.75" customHeight="1" x14ac:dyDescent="0.25">
      <c r="A119" s="225"/>
      <c r="B119" s="16"/>
      <c r="C119" s="16"/>
      <c r="D119" s="16"/>
      <c r="E119" s="16"/>
      <c r="F119" s="16"/>
      <c r="G119" s="14"/>
      <c r="J119" s="116"/>
    </row>
    <row r="120" spans="1:10" ht="15.75" customHeight="1" thickBot="1" x14ac:dyDescent="0.3">
      <c r="A120" s="225"/>
      <c r="B120" s="15" t="s">
        <v>180</v>
      </c>
      <c r="C120" s="16"/>
      <c r="D120" s="16"/>
      <c r="E120" s="16"/>
      <c r="F120" s="16"/>
      <c r="G120" s="14"/>
      <c r="J120" s="116"/>
    </row>
    <row r="121" spans="1:10" ht="15.75" customHeight="1" thickBot="1" x14ac:dyDescent="0.3">
      <c r="A121" s="225"/>
      <c r="B121" s="206"/>
      <c r="C121" s="207"/>
      <c r="D121" s="207"/>
      <c r="E121" s="207"/>
      <c r="F121" s="208"/>
      <c r="G121" s="14"/>
      <c r="J121" s="116"/>
    </row>
    <row r="122" spans="1:10" ht="6.75" customHeight="1" x14ac:dyDescent="0.25">
      <c r="A122" s="225"/>
      <c r="B122" s="16"/>
      <c r="C122" s="16"/>
      <c r="D122" s="16"/>
      <c r="E122" s="16"/>
      <c r="F122" s="16"/>
      <c r="G122" s="14"/>
      <c r="J122" s="116"/>
    </row>
    <row r="123" spans="1:10" ht="15.75" customHeight="1" thickBot="1" x14ac:dyDescent="0.3">
      <c r="A123" s="225"/>
      <c r="B123" s="15" t="s">
        <v>268</v>
      </c>
      <c r="C123" s="16"/>
      <c r="D123" s="16"/>
      <c r="E123" s="16"/>
      <c r="F123" s="16"/>
      <c r="G123" s="14"/>
      <c r="J123" s="116"/>
    </row>
    <row r="124" spans="1:10" ht="15.75" customHeight="1" thickBot="1" x14ac:dyDescent="0.3">
      <c r="A124" s="225"/>
      <c r="B124" s="206"/>
      <c r="C124" s="207"/>
      <c r="D124" s="207"/>
      <c r="E124" s="207"/>
      <c r="F124" s="208"/>
      <c r="G124" s="14"/>
      <c r="J124" s="116"/>
    </row>
    <row r="125" spans="1:10" ht="6" customHeight="1" x14ac:dyDescent="0.25">
      <c r="A125" s="225"/>
      <c r="B125" s="16"/>
      <c r="C125" s="16"/>
      <c r="D125" s="16"/>
      <c r="E125" s="16"/>
      <c r="F125" s="16"/>
      <c r="G125" s="14"/>
      <c r="J125" s="116"/>
    </row>
    <row r="126" spans="1:10" ht="15.75" customHeight="1" thickBot="1" x14ac:dyDescent="0.3">
      <c r="A126" s="225"/>
      <c r="B126" s="15" t="s">
        <v>269</v>
      </c>
      <c r="C126" s="16"/>
      <c r="D126" s="16"/>
      <c r="E126" s="16"/>
      <c r="F126" s="16"/>
      <c r="G126" s="14"/>
      <c r="J126" s="116"/>
    </row>
    <row r="127" spans="1:10" ht="15.75" customHeight="1" thickBot="1" x14ac:dyDescent="0.3">
      <c r="A127" s="225"/>
      <c r="B127" s="206"/>
      <c r="C127" s="207"/>
      <c r="D127" s="207"/>
      <c r="E127" s="207"/>
      <c r="F127" s="208"/>
      <c r="G127" s="14"/>
      <c r="J127" s="116"/>
    </row>
    <row r="128" spans="1:10" ht="9" customHeight="1" x14ac:dyDescent="0.25">
      <c r="A128" s="225"/>
      <c r="B128" s="16"/>
      <c r="C128" s="16"/>
      <c r="D128" s="16"/>
      <c r="E128" s="16"/>
      <c r="F128" s="16"/>
      <c r="G128" s="14"/>
      <c r="J128" s="116"/>
    </row>
    <row r="129" spans="1:18" ht="15.75" customHeight="1" thickBot="1" x14ac:dyDescent="0.3">
      <c r="A129" s="225"/>
      <c r="B129" s="15" t="s">
        <v>172</v>
      </c>
      <c r="C129" s="16"/>
      <c r="D129" s="16"/>
      <c r="E129" s="16"/>
      <c r="F129" s="16"/>
      <c r="G129" s="14"/>
      <c r="J129" s="116"/>
    </row>
    <row r="130" spans="1:18" ht="15.75" customHeight="1" thickBot="1" x14ac:dyDescent="0.3">
      <c r="A130" s="225"/>
      <c r="B130" s="209"/>
      <c r="C130" s="210"/>
      <c r="D130" s="210"/>
      <c r="E130" s="210"/>
      <c r="F130" s="211"/>
      <c r="G130" s="14"/>
      <c r="J130" s="116"/>
    </row>
    <row r="131" spans="1:18" ht="15.75" customHeight="1" x14ac:dyDescent="0.25">
      <c r="A131" s="225"/>
      <c r="B131" s="47"/>
      <c r="C131" s="47"/>
      <c r="D131" s="47"/>
      <c r="E131" s="47"/>
      <c r="F131" s="47"/>
      <c r="G131" s="14"/>
      <c r="J131" s="116"/>
    </row>
    <row r="132" spans="1:18" ht="19.5" customHeight="1" thickBot="1" x14ac:dyDescent="0.3">
      <c r="A132" s="225"/>
      <c r="B132" s="229" t="s">
        <v>310</v>
      </c>
      <c r="C132" s="229"/>
      <c r="D132" s="229"/>
      <c r="E132" s="229"/>
      <c r="F132" s="229"/>
      <c r="G132" s="14"/>
      <c r="J132" s="116"/>
    </row>
    <row r="133" spans="1:18" ht="15.75" customHeight="1" thickBot="1" x14ac:dyDescent="0.3">
      <c r="A133" s="225"/>
      <c r="B133" s="209"/>
      <c r="C133" s="210"/>
      <c r="D133" s="210"/>
      <c r="E133" s="210"/>
      <c r="F133" s="211"/>
      <c r="G133" s="14"/>
      <c r="J133" s="116"/>
    </row>
    <row r="134" spans="1:18" ht="15.75" customHeight="1" x14ac:dyDescent="0.25">
      <c r="A134" s="225"/>
      <c r="B134" s="50"/>
      <c r="C134" s="50"/>
      <c r="D134" s="50"/>
      <c r="E134" s="50"/>
      <c r="F134" s="50"/>
      <c r="G134" s="14"/>
      <c r="J134" s="116"/>
    </row>
    <row r="135" spans="1:18" ht="15.75" customHeight="1" thickBot="1" x14ac:dyDescent="0.3">
      <c r="A135" s="225"/>
      <c r="B135" s="15" t="s">
        <v>306</v>
      </c>
      <c r="C135" s="16"/>
      <c r="D135" s="16"/>
      <c r="E135" s="16"/>
      <c r="F135" s="16"/>
      <c r="G135" s="14"/>
      <c r="J135" s="116"/>
    </row>
    <row r="136" spans="1:18" ht="15.75" customHeight="1" thickBot="1" x14ac:dyDescent="0.3">
      <c r="A136" s="225"/>
      <c r="B136" s="212" t="str">
        <f>IFERROR((B124+(B127*B121/B130))*1000*1.23,"0")</f>
        <v>0</v>
      </c>
      <c r="C136" s="213"/>
      <c r="D136" s="213"/>
      <c r="E136" s="213"/>
      <c r="F136" s="214"/>
      <c r="G136" s="14"/>
      <c r="J136" s="116"/>
    </row>
    <row r="137" spans="1:18" ht="12.75" customHeight="1" x14ac:dyDescent="0.25">
      <c r="A137" s="225"/>
      <c r="B137" s="46"/>
      <c r="C137" s="46"/>
      <c r="D137" s="46"/>
      <c r="E137" s="46"/>
      <c r="F137" s="46"/>
      <c r="G137" s="14"/>
      <c r="J137" s="116"/>
    </row>
    <row r="138" spans="1:18" ht="20.100000000000001" customHeight="1" thickBot="1" x14ac:dyDescent="0.3">
      <c r="A138" s="225"/>
      <c r="B138" s="15" t="s">
        <v>257</v>
      </c>
      <c r="C138" s="15"/>
      <c r="D138" s="15"/>
      <c r="E138" s="15"/>
      <c r="F138" s="15"/>
      <c r="G138" s="14"/>
      <c r="J138" s="116"/>
    </row>
    <row r="139" spans="1:18" ht="16.5" customHeight="1" thickBot="1" x14ac:dyDescent="0.3">
      <c r="A139" s="225"/>
      <c r="B139" s="212" t="str">
        <f>IFERROR((B148/1.23/1000-(B121*B127)/B130),"0")</f>
        <v>0</v>
      </c>
      <c r="C139" s="213"/>
      <c r="D139" s="213"/>
      <c r="E139" s="213"/>
      <c r="F139" s="214"/>
      <c r="G139" s="14"/>
      <c r="J139" s="116"/>
    </row>
    <row r="140" spans="1:18" ht="17.25" customHeight="1" x14ac:dyDescent="0.25">
      <c r="A140" s="225"/>
      <c r="B140" s="15"/>
      <c r="C140" s="46"/>
      <c r="D140" s="46"/>
      <c r="E140" s="46"/>
      <c r="F140" s="46"/>
      <c r="G140" s="14"/>
      <c r="J140" s="116"/>
    </row>
    <row r="141" spans="1:18" ht="17.25" customHeight="1" thickBot="1" x14ac:dyDescent="0.3">
      <c r="A141" s="225"/>
      <c r="B141" s="228" t="s">
        <v>260</v>
      </c>
      <c r="C141" s="228"/>
      <c r="D141" s="228"/>
      <c r="E141" s="228"/>
      <c r="F141" s="228"/>
      <c r="G141" s="14"/>
      <c r="J141" s="116"/>
    </row>
    <row r="142" spans="1:18" ht="17.25" customHeight="1" thickBot="1" x14ac:dyDescent="0.3">
      <c r="A142" s="225"/>
      <c r="B142" s="199" t="str">
        <f>IFERROR((MIN(B136-B148)*B133/1000 )*SUMIFS(Hárok2!$C$2:$C$13, Hárok2!$B$2:$B$13, "&gt;=" &amp; MONTH(DATEVALUE(TEXT(E118, "mmmm") &amp; " 1")), Hárok2!$B$2:$B$13, "&lt;=" &amp; MONTH(DATEVALUE(TEXT(F118, "mmmm") &amp; " 1"))),"0")</f>
        <v>0</v>
      </c>
      <c r="C142" s="218"/>
      <c r="D142" s="60"/>
      <c r="E142" s="60"/>
      <c r="F142" s="61"/>
      <c r="G142" s="65"/>
      <c r="H142" s="110"/>
      <c r="J142" s="116"/>
    </row>
    <row r="143" spans="1:18" ht="20.100000000000001" customHeight="1" thickBot="1" x14ac:dyDescent="0.3">
      <c r="A143" s="226"/>
      <c r="B143" s="119"/>
      <c r="C143" s="119"/>
      <c r="D143" s="119"/>
      <c r="E143" s="119"/>
      <c r="F143" s="119"/>
      <c r="G143" s="14"/>
      <c r="J143" s="116"/>
    </row>
    <row r="144" spans="1:18" ht="20.100000000000001" customHeight="1" x14ac:dyDescent="0.3">
      <c r="A144" s="11" t="s">
        <v>273</v>
      </c>
      <c r="B144" s="17"/>
      <c r="C144" s="17"/>
      <c r="D144" s="20"/>
      <c r="E144" s="20"/>
      <c r="F144" s="20"/>
      <c r="J144" s="116"/>
      <c r="K144" s="109"/>
      <c r="L144" s="109"/>
      <c r="M144" s="109"/>
      <c r="Q144" s="113"/>
      <c r="R144" s="109"/>
    </row>
    <row r="145" spans="1:17" ht="20.100000000000001" customHeight="1" x14ac:dyDescent="0.3">
      <c r="A145" s="55"/>
      <c r="B145" s="56"/>
      <c r="C145" s="56"/>
      <c r="D145" s="16"/>
      <c r="E145" s="16"/>
      <c r="F145" s="16"/>
      <c r="J145" s="116"/>
      <c r="K145" s="109"/>
      <c r="L145" s="109"/>
      <c r="M145" s="109"/>
      <c r="Q145" s="113"/>
    </row>
    <row r="146" spans="1:17" ht="20.100000000000001" customHeight="1" x14ac:dyDescent="0.25">
      <c r="B146" s="16"/>
      <c r="C146" s="16"/>
      <c r="D146" s="16"/>
      <c r="E146" s="16"/>
      <c r="F146" s="16"/>
      <c r="J146" s="116"/>
      <c r="K146" s="109"/>
      <c r="L146" s="109"/>
      <c r="M146" s="109"/>
      <c r="Q146" s="113"/>
    </row>
    <row r="147" spans="1:17" ht="15.75" customHeight="1" thickBot="1" x14ac:dyDescent="0.3">
      <c r="B147" s="15" t="s">
        <v>274</v>
      </c>
      <c r="C147" s="16"/>
      <c r="D147" s="16"/>
      <c r="E147" s="16"/>
      <c r="F147" s="16"/>
      <c r="J147" s="116"/>
      <c r="Q147" s="113"/>
    </row>
    <row r="148" spans="1:17" ht="15.75" customHeight="1" thickBot="1" x14ac:dyDescent="0.35">
      <c r="B148" s="215" t="str">
        <f>IFERROR(MIN(199,(B58+20)),"Vyplňte formulár kompletne")</f>
        <v>Vyplňte formulár kompletne</v>
      </c>
      <c r="C148" s="216"/>
      <c r="D148" s="216"/>
      <c r="E148" s="216"/>
      <c r="F148" s="217"/>
      <c r="J148" s="116"/>
      <c r="Q148" s="113"/>
    </row>
    <row r="149" spans="1:17" ht="15.75" customHeight="1" x14ac:dyDescent="0.25">
      <c r="B149" s="16"/>
      <c r="C149" s="16"/>
      <c r="D149" s="16"/>
      <c r="E149" s="16"/>
      <c r="F149" s="16"/>
      <c r="J149" s="116"/>
      <c r="Q149" s="113"/>
    </row>
    <row r="150" spans="1:17" ht="15.75" customHeight="1" thickBot="1" x14ac:dyDescent="0.3">
      <c r="B150" s="15" t="s">
        <v>258</v>
      </c>
      <c r="C150" s="16"/>
      <c r="D150" s="16"/>
      <c r="E150" s="16"/>
      <c r="F150" s="16"/>
      <c r="J150" s="116"/>
      <c r="Q150" s="113"/>
    </row>
    <row r="151" spans="1:17" ht="15.75" customHeight="1" thickBot="1" x14ac:dyDescent="0.35">
      <c r="B151" s="215">
        <f>IFERROR((B139*B133+B112*B106+B85*B79)/SUM(B79+B133+B106),0)</f>
        <v>0</v>
      </c>
      <c r="C151" s="216"/>
      <c r="D151" s="216"/>
      <c r="E151" s="216"/>
      <c r="F151" s="217"/>
      <c r="J151" s="116"/>
      <c r="Q151" s="113"/>
    </row>
    <row r="152" spans="1:17" ht="15.75" customHeight="1" x14ac:dyDescent="0.25">
      <c r="B152" s="16"/>
      <c r="C152" s="16"/>
      <c r="D152" s="16"/>
      <c r="E152" s="16"/>
      <c r="F152" s="16"/>
      <c r="J152" s="116"/>
      <c r="Q152" s="113"/>
    </row>
    <row r="153" spans="1:17" ht="15.75" customHeight="1" thickBot="1" x14ac:dyDescent="0.3">
      <c r="B153" s="122" t="s">
        <v>259</v>
      </c>
      <c r="C153" s="16"/>
      <c r="D153" s="15"/>
      <c r="E153" s="15"/>
      <c r="F153" s="16"/>
      <c r="J153" s="116"/>
      <c r="Q153" s="113"/>
    </row>
    <row r="154" spans="1:17" ht="15.75" customHeight="1" thickBot="1" x14ac:dyDescent="0.3">
      <c r="B154" s="199">
        <f>IFERROR((B142+B115+B88),0)</f>
        <v>0</v>
      </c>
      <c r="C154" s="200"/>
      <c r="D154" s="53"/>
      <c r="E154" s="171"/>
      <c r="F154" s="171"/>
      <c r="H154" s="111"/>
      <c r="J154" s="116"/>
      <c r="Q154" s="113"/>
    </row>
    <row r="155" spans="1:17" ht="15.75" customHeight="1" x14ac:dyDescent="0.25">
      <c r="B155" s="16"/>
      <c r="C155" s="16"/>
      <c r="D155" s="16"/>
      <c r="E155" s="16"/>
      <c r="F155" s="16"/>
      <c r="J155" s="116"/>
      <c r="Q155" s="113"/>
    </row>
    <row r="156" spans="1:17" ht="15.75" customHeight="1" x14ac:dyDescent="0.25">
      <c r="B156" s="16"/>
      <c r="C156" s="16"/>
      <c r="D156" s="16"/>
      <c r="E156" s="16"/>
      <c r="F156" s="16"/>
      <c r="J156" s="116"/>
    </row>
    <row r="157" spans="1:17" ht="20.100000000000001" customHeight="1" x14ac:dyDescent="0.25">
      <c r="B157" s="16"/>
      <c r="C157" s="16"/>
      <c r="D157" s="16"/>
      <c r="E157" s="16"/>
      <c r="F157" s="16"/>
      <c r="J157" s="116"/>
    </row>
    <row r="158" spans="1:17" ht="20.100000000000001" customHeight="1" x14ac:dyDescent="0.25">
      <c r="B158" s="21" t="s">
        <v>236</v>
      </c>
      <c r="C158" s="21"/>
      <c r="D158" s="21"/>
      <c r="E158" s="21"/>
      <c r="F158" s="22"/>
      <c r="G158" s="1"/>
      <c r="J158" s="116"/>
    </row>
    <row r="159" spans="1:17" ht="20.100000000000001" customHeight="1" x14ac:dyDescent="0.25">
      <c r="B159" s="21" t="s">
        <v>307</v>
      </c>
      <c r="C159" s="23"/>
      <c r="D159" s="23"/>
      <c r="E159" s="23"/>
      <c r="F159" s="22"/>
    </row>
    <row r="160" spans="1:17" ht="20.100000000000001" customHeight="1" x14ac:dyDescent="0.25">
      <c r="B160" s="117" t="s">
        <v>22</v>
      </c>
      <c r="C160" s="117" t="s">
        <v>23</v>
      </c>
      <c r="D160" s="117" t="s">
        <v>24</v>
      </c>
      <c r="E160" s="117" t="s">
        <v>25</v>
      </c>
      <c r="F160" s="117" t="s">
        <v>26</v>
      </c>
      <c r="G160" s="118" t="s">
        <v>27</v>
      </c>
    </row>
    <row r="161" spans="2:10" ht="23.25" customHeight="1" x14ac:dyDescent="0.25">
      <c r="B161" s="138" t="str">
        <f>IFERROR(Kalkulacia!L2,"chybné dáta")</f>
        <v>chybné dáta</v>
      </c>
      <c r="C161" s="138" t="str">
        <f>IFERROR(Kalkulacia!L3,"chybné dáta")</f>
        <v>chybné dáta</v>
      </c>
      <c r="D161" s="138" t="str">
        <f>IFERROR(Kalkulacia!L4,"chybné dáta")</f>
        <v>chybné dáta</v>
      </c>
      <c r="E161" s="138" t="str">
        <f>IFERROR(Kalkulacia!L5,"chybné dáta")</f>
        <v>chybné dáta</v>
      </c>
      <c r="F161" s="138" t="str">
        <f>IFERROR(Kalkulacia!L6,"chybné dáta")</f>
        <v>chybné dáta</v>
      </c>
      <c r="G161" s="138" t="str">
        <f>IFERROR(Kalkulacia!L7,"chybné dáta")</f>
        <v>chybné dáta</v>
      </c>
      <c r="I161" s="126"/>
    </row>
    <row r="162" spans="2:10" ht="18" customHeight="1" x14ac:dyDescent="0.25">
      <c r="B162" s="117" t="s">
        <v>28</v>
      </c>
      <c r="C162" s="117" t="s">
        <v>29</v>
      </c>
      <c r="D162" s="117" t="s">
        <v>30</v>
      </c>
      <c r="E162" s="117" t="s">
        <v>31</v>
      </c>
      <c r="F162" s="117" t="s">
        <v>32</v>
      </c>
      <c r="G162" s="118" t="s">
        <v>33</v>
      </c>
    </row>
    <row r="163" spans="2:10" ht="23.25" customHeight="1" x14ac:dyDescent="0.25">
      <c r="B163" s="138" t="str">
        <f>IFERROR(Kalkulacia!L8,"chybné dáta")</f>
        <v>chybné dáta</v>
      </c>
      <c r="C163" s="138" t="str">
        <f>IFERROR(Kalkulacia!L9,"chybné dáta")</f>
        <v>chybné dáta</v>
      </c>
      <c r="D163" s="138" t="str">
        <f>IFERROR(Kalkulacia!L10,"chybné dáta")</f>
        <v>chybné dáta</v>
      </c>
      <c r="E163" s="138" t="str">
        <f>IFERROR(Kalkulacia!L11,"chybné dáta")</f>
        <v>chybné dáta</v>
      </c>
      <c r="F163" s="138" t="str">
        <f>IFERROR(Kalkulacia!L12,"chybné dáta")</f>
        <v>chybné dáta</v>
      </c>
      <c r="G163" s="138" t="str">
        <f>IFERROR(Kalkulacia!L13,"chybné dáta")</f>
        <v>chybné dáta</v>
      </c>
      <c r="I163" s="126"/>
    </row>
    <row r="164" spans="2:10" ht="15.75" x14ac:dyDescent="0.25">
      <c r="B164" s="24"/>
      <c r="C164" s="24"/>
      <c r="D164" s="24"/>
      <c r="E164" s="24"/>
      <c r="F164" s="24"/>
      <c r="G164" s="13"/>
      <c r="H164" s="112"/>
    </row>
    <row r="165" spans="2:10" ht="15.75" x14ac:dyDescent="0.25">
      <c r="B165" s="88"/>
      <c r="C165" s="88"/>
      <c r="D165" s="88"/>
      <c r="E165" s="88"/>
      <c r="F165" s="10"/>
      <c r="H165" s="112"/>
      <c r="I165" s="112"/>
      <c r="J165" s="114"/>
    </row>
    <row r="166" spans="2:10" ht="42" customHeight="1" x14ac:dyDescent="0.25">
      <c r="B166" s="196" t="s">
        <v>275</v>
      </c>
      <c r="C166" s="196"/>
      <c r="D166" s="196"/>
      <c r="E166" s="196"/>
      <c r="F166" s="196"/>
      <c r="G166" s="196"/>
      <c r="H166" s="112"/>
      <c r="I166" s="112"/>
      <c r="J166" s="114"/>
    </row>
    <row r="167" spans="2:10" ht="15.75" thickBot="1" x14ac:dyDescent="0.3">
      <c r="B167" s="16" t="s">
        <v>132</v>
      </c>
      <c r="C167" s="16"/>
      <c r="D167" s="16" t="s">
        <v>133</v>
      </c>
      <c r="E167" s="16"/>
      <c r="F167" s="27"/>
      <c r="J167" s="114"/>
    </row>
    <row r="168" spans="2:10" ht="15.75" thickBot="1" x14ac:dyDescent="0.3">
      <c r="B168" s="139"/>
      <c r="C168" s="16"/>
      <c r="D168" s="139"/>
      <c r="E168" s="16"/>
      <c r="F168" s="27"/>
      <c r="J168" s="114"/>
    </row>
    <row r="169" spans="2:10" x14ac:dyDescent="0.25">
      <c r="B169" s="28"/>
      <c r="C169" s="16"/>
      <c r="D169" s="16"/>
      <c r="E169" s="16"/>
      <c r="F169" s="27"/>
      <c r="J169" s="114"/>
    </row>
    <row r="170" spans="2:10" ht="15.75" thickBot="1" x14ac:dyDescent="0.3">
      <c r="B170" s="16" t="s">
        <v>134</v>
      </c>
      <c r="C170" s="16"/>
      <c r="D170" s="16" t="s">
        <v>135</v>
      </c>
      <c r="E170" s="16"/>
      <c r="F170" s="27"/>
      <c r="J170" s="114"/>
    </row>
    <row r="171" spans="2:10" ht="15.75" thickBot="1" x14ac:dyDescent="0.3">
      <c r="B171" s="39"/>
      <c r="C171" s="16"/>
      <c r="D171" s="39"/>
      <c r="E171" s="16"/>
      <c r="F171" s="27"/>
      <c r="J171" s="114"/>
    </row>
    <row r="172" spans="2:10" x14ac:dyDescent="0.25">
      <c r="B172" s="28"/>
      <c r="C172" s="16"/>
      <c r="D172" s="16"/>
      <c r="E172" s="16"/>
      <c r="F172" s="27"/>
      <c r="J172" s="114"/>
    </row>
    <row r="173" spans="2:10" ht="15.75" thickBot="1" x14ac:dyDescent="0.3">
      <c r="B173" s="16" t="s">
        <v>136</v>
      </c>
      <c r="C173" s="16"/>
      <c r="D173" s="16" t="s">
        <v>137</v>
      </c>
      <c r="E173" s="16"/>
      <c r="F173" s="27"/>
      <c r="J173" s="114"/>
    </row>
    <row r="174" spans="2:10" ht="15.75" thickBot="1" x14ac:dyDescent="0.3">
      <c r="B174" s="39"/>
      <c r="C174" s="16"/>
      <c r="D174" s="39"/>
      <c r="E174" s="16"/>
      <c r="F174" s="27"/>
      <c r="J174" s="114"/>
    </row>
    <row r="175" spans="2:10" x14ac:dyDescent="0.25">
      <c r="B175" s="28"/>
      <c r="C175" s="16"/>
      <c r="D175" s="16"/>
      <c r="E175" s="16"/>
      <c r="F175" s="27"/>
      <c r="J175" s="114"/>
    </row>
    <row r="176" spans="2:10" ht="15.75" thickBot="1" x14ac:dyDescent="0.3">
      <c r="B176" s="16" t="s">
        <v>138</v>
      </c>
      <c r="C176" s="16"/>
      <c r="D176" s="16" t="s">
        <v>139</v>
      </c>
      <c r="E176" s="16"/>
      <c r="F176" s="27"/>
      <c r="J176" s="114"/>
    </row>
    <row r="177" spans="2:10" ht="15.75" thickBot="1" x14ac:dyDescent="0.3">
      <c r="B177" s="39"/>
      <c r="C177" s="16"/>
      <c r="D177" s="39"/>
      <c r="E177" s="16"/>
      <c r="F177" s="27"/>
      <c r="J177" s="114"/>
    </row>
    <row r="178" spans="2:10" x14ac:dyDescent="0.25">
      <c r="B178" s="28"/>
      <c r="C178" s="16"/>
      <c r="D178" s="16"/>
      <c r="E178" s="16"/>
      <c r="F178" s="27"/>
      <c r="J178" s="114"/>
    </row>
    <row r="179" spans="2:10" ht="15.75" thickBot="1" x14ac:dyDescent="0.3">
      <c r="B179" s="16" t="s">
        <v>140</v>
      </c>
      <c r="C179" s="16"/>
      <c r="D179" s="16" t="s">
        <v>141</v>
      </c>
      <c r="E179" s="16"/>
      <c r="F179" s="27"/>
      <c r="J179" s="114"/>
    </row>
    <row r="180" spans="2:10" ht="15.75" thickBot="1" x14ac:dyDescent="0.3">
      <c r="B180" s="39"/>
      <c r="C180" s="16"/>
      <c r="D180" s="39"/>
      <c r="E180" s="16"/>
      <c r="F180" s="27"/>
      <c r="J180" s="114"/>
    </row>
    <row r="181" spans="2:10" x14ac:dyDescent="0.25">
      <c r="B181" s="28"/>
      <c r="C181" s="16"/>
      <c r="D181" s="16"/>
      <c r="E181" s="16"/>
      <c r="F181" s="27"/>
      <c r="J181" s="114"/>
    </row>
    <row r="182" spans="2:10" ht="15.75" thickBot="1" x14ac:dyDescent="0.3">
      <c r="B182" s="16" t="s">
        <v>140</v>
      </c>
      <c r="C182" s="16"/>
      <c r="D182" s="16" t="s">
        <v>141</v>
      </c>
      <c r="E182" s="16"/>
      <c r="F182" s="27"/>
      <c r="J182" s="114"/>
    </row>
    <row r="183" spans="2:10" ht="15.75" thickBot="1" x14ac:dyDescent="0.3">
      <c r="B183" s="39"/>
      <c r="C183" s="16"/>
      <c r="D183" s="39"/>
      <c r="E183" s="16"/>
      <c r="F183" s="27"/>
      <c r="J183" s="114"/>
    </row>
    <row r="184" spans="2:10" x14ac:dyDescent="0.25">
      <c r="B184" s="28"/>
      <c r="C184" s="16"/>
      <c r="D184" s="16"/>
      <c r="E184" s="16"/>
      <c r="F184" s="27"/>
      <c r="J184" s="114"/>
    </row>
    <row r="185" spans="2:10" ht="15.75" thickBot="1" x14ac:dyDescent="0.3">
      <c r="B185" s="16" t="s">
        <v>142</v>
      </c>
      <c r="C185" s="16"/>
      <c r="D185" s="16" t="s">
        <v>143</v>
      </c>
      <c r="E185" s="16"/>
      <c r="F185" s="27"/>
      <c r="J185" s="114"/>
    </row>
    <row r="186" spans="2:10" ht="15.75" thickBot="1" x14ac:dyDescent="0.3">
      <c r="B186" s="39"/>
      <c r="C186" s="16"/>
      <c r="D186" s="39"/>
      <c r="E186" s="16"/>
      <c r="F186" s="27"/>
      <c r="J186" s="114"/>
    </row>
    <row r="187" spans="2:10" x14ac:dyDescent="0.25">
      <c r="B187" s="28"/>
      <c r="C187" s="16"/>
      <c r="D187" s="16"/>
      <c r="E187" s="16"/>
      <c r="F187" s="27"/>
      <c r="J187" s="114"/>
    </row>
    <row r="188" spans="2:10" ht="15.75" thickBot="1" x14ac:dyDescent="0.3">
      <c r="B188" s="16" t="s">
        <v>144</v>
      </c>
      <c r="C188" s="16"/>
      <c r="D188" s="16" t="s">
        <v>145</v>
      </c>
      <c r="E188" s="16"/>
      <c r="F188" s="27"/>
      <c r="J188" s="114"/>
    </row>
    <row r="189" spans="2:10" ht="15.75" thickBot="1" x14ac:dyDescent="0.3">
      <c r="B189" s="39"/>
      <c r="C189" s="16"/>
      <c r="D189" s="39"/>
      <c r="E189" s="16"/>
      <c r="F189" s="27"/>
      <c r="J189" s="114"/>
    </row>
    <row r="190" spans="2:10" x14ac:dyDescent="0.25">
      <c r="B190" s="28"/>
      <c r="C190" s="16"/>
      <c r="D190" s="16"/>
      <c r="E190" s="16"/>
      <c r="F190" s="27"/>
      <c r="J190" s="114"/>
    </row>
    <row r="191" spans="2:10" ht="15.75" thickBot="1" x14ac:dyDescent="0.3">
      <c r="B191" s="16" t="s">
        <v>146</v>
      </c>
      <c r="C191" s="16"/>
      <c r="D191" s="16" t="s">
        <v>147</v>
      </c>
      <c r="E191" s="16"/>
      <c r="F191" s="27"/>
      <c r="J191" s="114"/>
    </row>
    <row r="192" spans="2:10" ht="15.75" thickBot="1" x14ac:dyDescent="0.3">
      <c r="B192" s="39"/>
      <c r="C192" s="16"/>
      <c r="D192" s="39"/>
      <c r="E192" s="16"/>
      <c r="F192" s="27"/>
      <c r="J192" s="114"/>
    </row>
    <row r="193" spans="2:10" x14ac:dyDescent="0.25">
      <c r="B193" s="28"/>
      <c r="C193" s="16"/>
      <c r="D193" s="16"/>
      <c r="E193" s="16"/>
      <c r="F193" s="27"/>
      <c r="J193" s="114"/>
    </row>
    <row r="194" spans="2:10" ht="15.75" thickBot="1" x14ac:dyDescent="0.3">
      <c r="B194" s="16" t="s">
        <v>148</v>
      </c>
      <c r="C194" s="16"/>
      <c r="D194" s="16" t="s">
        <v>149</v>
      </c>
      <c r="E194" s="16"/>
      <c r="F194" s="27"/>
      <c r="J194" s="114"/>
    </row>
    <row r="195" spans="2:10" ht="15.75" thickBot="1" x14ac:dyDescent="0.3">
      <c r="B195" s="39"/>
      <c r="C195" s="16"/>
      <c r="D195" s="39"/>
      <c r="E195" s="16"/>
      <c r="F195" s="27"/>
      <c r="J195" s="114"/>
    </row>
    <row r="196" spans="2:10" x14ac:dyDescent="0.25">
      <c r="B196" s="28"/>
      <c r="C196" s="16"/>
      <c r="D196" s="16"/>
      <c r="E196" s="16"/>
      <c r="F196" s="27"/>
      <c r="J196" s="114"/>
    </row>
    <row r="197" spans="2:10" ht="15.75" thickBot="1" x14ac:dyDescent="0.3">
      <c r="B197" s="16" t="s">
        <v>150</v>
      </c>
      <c r="C197" s="16"/>
      <c r="D197" s="16" t="s">
        <v>151</v>
      </c>
      <c r="E197" s="16"/>
      <c r="F197" s="27"/>
      <c r="J197" s="114"/>
    </row>
    <row r="198" spans="2:10" ht="15.75" thickBot="1" x14ac:dyDescent="0.3">
      <c r="B198" s="39"/>
      <c r="C198" s="16"/>
      <c r="D198" s="39"/>
      <c r="E198" s="16"/>
      <c r="F198" s="27"/>
      <c r="J198" s="114"/>
    </row>
    <row r="199" spans="2:10" x14ac:dyDescent="0.25">
      <c r="B199" s="16"/>
      <c r="C199" s="16"/>
      <c r="D199" s="16"/>
      <c r="E199" s="16"/>
      <c r="F199" s="16"/>
    </row>
    <row r="200" spans="2:10" x14ac:dyDescent="0.25">
      <c r="B200" s="168" t="s">
        <v>17</v>
      </c>
      <c r="C200" s="168"/>
      <c r="D200" s="168"/>
      <c r="E200" s="168"/>
      <c r="F200" s="168"/>
      <c r="J200" s="197"/>
    </row>
    <row r="201" spans="2:10" ht="7.5" customHeight="1" x14ac:dyDescent="0.25">
      <c r="B201" s="16"/>
      <c r="C201" s="16"/>
      <c r="D201" s="16"/>
      <c r="E201" s="16"/>
      <c r="F201" s="16"/>
      <c r="J201" s="197"/>
    </row>
    <row r="202" spans="2:10" ht="126" customHeight="1" x14ac:dyDescent="0.25">
      <c r="B202" s="174" t="s">
        <v>237</v>
      </c>
      <c r="C202" s="175"/>
      <c r="D202" s="175"/>
      <c r="E202" s="175"/>
      <c r="F202" s="175"/>
      <c r="G202" s="40" t="s">
        <v>262</v>
      </c>
      <c r="J202" s="197"/>
    </row>
    <row r="203" spans="2:10" ht="7.5" customHeight="1" x14ac:dyDescent="0.25">
      <c r="B203" s="29"/>
      <c r="C203" s="30"/>
      <c r="D203" s="30"/>
      <c r="E203" s="30"/>
      <c r="F203" s="30"/>
      <c r="J203" s="197"/>
    </row>
    <row r="204" spans="2:10" ht="64.5" customHeight="1" x14ac:dyDescent="0.25">
      <c r="B204" s="174" t="s">
        <v>38</v>
      </c>
      <c r="C204" s="174"/>
      <c r="D204" s="174"/>
      <c r="E204" s="174"/>
      <c r="F204" s="174"/>
      <c r="G204" s="40" t="s">
        <v>262</v>
      </c>
      <c r="J204" s="197"/>
    </row>
    <row r="205" spans="2:10" ht="7.5" customHeight="1" x14ac:dyDescent="0.25">
      <c r="B205" s="29"/>
      <c r="C205" s="29"/>
      <c r="D205" s="29"/>
      <c r="E205" s="29"/>
      <c r="F205" s="29"/>
      <c r="J205" s="197"/>
    </row>
    <row r="206" spans="2:10" ht="33" customHeight="1" x14ac:dyDescent="0.25">
      <c r="B206" s="174" t="s">
        <v>39</v>
      </c>
      <c r="C206" s="174"/>
      <c r="D206" s="174"/>
      <c r="E206" s="174"/>
      <c r="F206" s="174"/>
      <c r="G206" s="40" t="s">
        <v>262</v>
      </c>
      <c r="J206" s="197"/>
    </row>
    <row r="207" spans="2:10" ht="7.5" customHeight="1" x14ac:dyDescent="0.25">
      <c r="B207" s="29"/>
      <c r="C207" s="29"/>
      <c r="D207" s="29"/>
      <c r="E207" s="29"/>
      <c r="F207" s="29"/>
      <c r="J207" s="197"/>
    </row>
    <row r="208" spans="2:10" ht="32.1" customHeight="1" x14ac:dyDescent="0.25">
      <c r="B208" s="174" t="s">
        <v>238</v>
      </c>
      <c r="C208" s="174"/>
      <c r="D208" s="174"/>
      <c r="E208" s="174"/>
      <c r="F208" s="174"/>
      <c r="G208" s="40" t="s">
        <v>262</v>
      </c>
      <c r="J208" s="197"/>
    </row>
    <row r="209" spans="2:10" ht="7.5" customHeight="1" x14ac:dyDescent="0.25">
      <c r="B209" s="29"/>
      <c r="C209" s="29"/>
      <c r="D209" s="29"/>
      <c r="E209" s="29"/>
      <c r="F209" s="29"/>
      <c r="J209" s="197"/>
    </row>
    <row r="210" spans="2:10" ht="36" customHeight="1" x14ac:dyDescent="0.25">
      <c r="B210" s="174" t="s">
        <v>239</v>
      </c>
      <c r="C210" s="174"/>
      <c r="D210" s="174"/>
      <c r="E210" s="174"/>
      <c r="F210" s="174"/>
      <c r="G210" s="40" t="s">
        <v>262</v>
      </c>
      <c r="J210" s="197"/>
    </row>
    <row r="211" spans="2:10" ht="6.95" customHeight="1" x14ac:dyDescent="0.25">
      <c r="B211" s="31"/>
      <c r="C211" s="31"/>
      <c r="D211" s="31"/>
      <c r="E211" s="31"/>
      <c r="F211" s="31"/>
      <c r="J211" s="197"/>
    </row>
    <row r="212" spans="2:10" ht="20.25" customHeight="1" x14ac:dyDescent="0.25">
      <c r="B212" s="174" t="s">
        <v>240</v>
      </c>
      <c r="C212" s="174"/>
      <c r="D212" s="174"/>
      <c r="E212" s="174"/>
      <c r="F212" s="174"/>
      <c r="G212" s="40" t="s">
        <v>262</v>
      </c>
      <c r="J212" s="197"/>
    </row>
    <row r="213" spans="2:10" ht="7.5" customHeight="1" x14ac:dyDescent="0.25">
      <c r="B213" s="29"/>
      <c r="C213" s="29"/>
      <c r="D213" s="29"/>
      <c r="E213" s="29"/>
      <c r="F213" s="29"/>
      <c r="J213" s="197"/>
    </row>
    <row r="214" spans="2:10" ht="16.5" customHeight="1" x14ac:dyDescent="0.25">
      <c r="B214" s="174" t="s">
        <v>241</v>
      </c>
      <c r="C214" s="175"/>
      <c r="D214" s="175"/>
      <c r="E214" s="175"/>
      <c r="F214" s="175"/>
      <c r="G214" s="40" t="s">
        <v>262</v>
      </c>
      <c r="J214" s="197"/>
    </row>
    <row r="215" spans="2:10" ht="7.5" customHeight="1" x14ac:dyDescent="0.25">
      <c r="B215" s="29"/>
      <c r="C215" s="29"/>
      <c r="D215" s="29"/>
      <c r="E215" s="29"/>
      <c r="F215" s="29"/>
      <c r="J215" s="197"/>
    </row>
    <row r="216" spans="2:10" ht="21.75" customHeight="1" x14ac:dyDescent="0.25">
      <c r="B216" s="174" t="s">
        <v>242</v>
      </c>
      <c r="C216" s="175"/>
      <c r="D216" s="175"/>
      <c r="E216" s="175"/>
      <c r="F216" s="175"/>
      <c r="G216" s="40" t="s">
        <v>262</v>
      </c>
      <c r="J216" s="197"/>
    </row>
    <row r="217" spans="2:10" ht="7.5" customHeight="1" x14ac:dyDescent="0.25">
      <c r="B217" s="16"/>
      <c r="C217" s="16"/>
      <c r="D217" s="16"/>
      <c r="E217" s="16"/>
      <c r="F217" s="16"/>
      <c r="J217" s="197"/>
    </row>
    <row r="218" spans="2:10" ht="35.25" customHeight="1" x14ac:dyDescent="0.25">
      <c r="B218" s="193" t="s">
        <v>40</v>
      </c>
      <c r="C218" s="193"/>
      <c r="D218" s="193"/>
      <c r="E218" s="193"/>
      <c r="F218" s="193"/>
      <c r="G218" s="40" t="s">
        <v>262</v>
      </c>
      <c r="J218" s="197"/>
    </row>
    <row r="219" spans="2:10" ht="7.5" customHeight="1" x14ac:dyDescent="0.25">
      <c r="B219" s="16"/>
      <c r="C219" s="16"/>
      <c r="D219" s="16"/>
      <c r="E219" s="16"/>
      <c r="F219" s="16"/>
      <c r="J219" s="197"/>
    </row>
    <row r="220" spans="2:10" ht="33.950000000000003" customHeight="1" x14ac:dyDescent="0.25">
      <c r="B220" s="192" t="s">
        <v>41</v>
      </c>
      <c r="C220" s="192"/>
      <c r="D220" s="192"/>
      <c r="E220" s="192"/>
      <c r="F220" s="192"/>
      <c r="G220" s="40" t="s">
        <v>262</v>
      </c>
      <c r="J220" s="197"/>
    </row>
    <row r="221" spans="2:10" ht="9.75" customHeight="1" x14ac:dyDescent="0.25">
      <c r="B221" s="32"/>
      <c r="C221" s="33"/>
      <c r="D221" s="33"/>
      <c r="E221" s="33"/>
      <c r="F221" s="33"/>
      <c r="J221" s="197"/>
    </row>
    <row r="222" spans="2:10" ht="45.75" customHeight="1" x14ac:dyDescent="0.25">
      <c r="B222" s="192" t="s">
        <v>42</v>
      </c>
      <c r="C222" s="192"/>
      <c r="D222" s="192"/>
      <c r="E222" s="192"/>
      <c r="F222" s="192"/>
      <c r="G222" s="40" t="s">
        <v>262</v>
      </c>
      <c r="J222" s="114"/>
    </row>
    <row r="223" spans="2:10" ht="11.25" customHeight="1" x14ac:dyDescent="0.25">
      <c r="B223" s="29"/>
      <c r="C223" s="29"/>
      <c r="D223" s="29"/>
      <c r="E223" s="29"/>
      <c r="F223" s="29"/>
      <c r="J223" s="114"/>
    </row>
    <row r="224" spans="2:10" ht="43.5" customHeight="1" x14ac:dyDescent="0.25">
      <c r="B224" s="174" t="s">
        <v>43</v>
      </c>
      <c r="C224" s="174"/>
      <c r="D224" s="174"/>
      <c r="E224" s="174"/>
      <c r="F224" s="174"/>
      <c r="G224" s="40" t="s">
        <v>262</v>
      </c>
      <c r="J224" s="114"/>
    </row>
    <row r="225" spans="1:10" ht="3" customHeight="1" x14ac:dyDescent="0.25">
      <c r="B225" s="29"/>
      <c r="C225" s="29"/>
      <c r="D225" s="29"/>
      <c r="E225" s="29"/>
      <c r="F225" s="29"/>
      <c r="J225" s="114"/>
    </row>
    <row r="226" spans="1:10" ht="43.5" customHeight="1" x14ac:dyDescent="0.25">
      <c r="B226" s="174" t="s">
        <v>243</v>
      </c>
      <c r="C226" s="175"/>
      <c r="D226" s="175"/>
      <c r="E226" s="175"/>
      <c r="F226" s="175"/>
      <c r="G226" s="40" t="s">
        <v>262</v>
      </c>
      <c r="J226" s="114"/>
    </row>
    <row r="227" spans="1:10" ht="4.5" customHeight="1" x14ac:dyDescent="0.25">
      <c r="B227" s="29"/>
      <c r="C227" s="29"/>
      <c r="D227" s="29"/>
      <c r="E227" s="29"/>
      <c r="F227" s="29"/>
      <c r="J227" s="114"/>
    </row>
    <row r="228" spans="1:10" ht="50.25" customHeight="1" x14ac:dyDescent="0.25">
      <c r="B228" s="174" t="s">
        <v>45</v>
      </c>
      <c r="C228" s="175"/>
      <c r="D228" s="175"/>
      <c r="E228" s="175"/>
      <c r="F228" s="175"/>
      <c r="G228" s="40" t="s">
        <v>262</v>
      </c>
      <c r="J228" s="114"/>
    </row>
    <row r="229" spans="1:10" ht="4.5" customHeight="1" x14ac:dyDescent="0.25">
      <c r="B229" s="29"/>
      <c r="C229" s="29"/>
      <c r="D229" s="29"/>
      <c r="E229" s="29"/>
      <c r="F229" s="29"/>
      <c r="J229" s="114"/>
    </row>
    <row r="230" spans="1:10" ht="30" customHeight="1" x14ac:dyDescent="0.25">
      <c r="B230" s="174" t="s">
        <v>244</v>
      </c>
      <c r="C230" s="175"/>
      <c r="D230" s="175"/>
      <c r="E230" s="175"/>
      <c r="F230" s="175"/>
      <c r="G230" s="40" t="s">
        <v>262</v>
      </c>
      <c r="J230" s="114"/>
    </row>
    <row r="231" spans="1:10" ht="6.95" customHeight="1" x14ac:dyDescent="0.25">
      <c r="B231" s="29"/>
      <c r="C231" s="29"/>
      <c r="D231" s="29"/>
      <c r="E231" s="29"/>
      <c r="F231" s="29"/>
      <c r="J231" s="114"/>
    </row>
    <row r="232" spans="1:10" ht="39" customHeight="1" x14ac:dyDescent="0.25">
      <c r="B232" s="186" t="s">
        <v>47</v>
      </c>
      <c r="C232" s="186"/>
      <c r="D232" s="186"/>
      <c r="E232" s="186"/>
      <c r="F232" s="186"/>
      <c r="G232" s="40" t="s">
        <v>262</v>
      </c>
    </row>
    <row r="233" spans="1:10" ht="5.25" customHeight="1" x14ac:dyDescent="0.25">
      <c r="A233" s="140"/>
      <c r="B233" s="141"/>
      <c r="C233" s="141"/>
      <c r="D233" s="141"/>
      <c r="E233" s="141"/>
      <c r="F233" s="141"/>
      <c r="G233" s="142"/>
      <c r="H233" s="143"/>
    </row>
    <row r="234" spans="1:10" ht="18.75" hidden="1" customHeight="1" x14ac:dyDescent="0.25">
      <c r="B234">
        <f>(F118-E118)+(F91-E91)+(F64-E64)</f>
        <v>0</v>
      </c>
      <c r="C234" t="s">
        <v>234</v>
      </c>
      <c r="G234" s="91"/>
    </row>
    <row r="235" spans="1:10" ht="19.5" customHeight="1" x14ac:dyDescent="0.25">
      <c r="B235" s="194" t="str">
        <f>IF(AND(G202="ÁNO",G204="ÁNO",G206="ÁNO",G208="ÁNO",G210="ÁNO",G212="ÁNO",G214="ÁNO",G216="ÁNO",G218="ÁNO",G220="ÁNO",G222="ÁNO",G224="ÁNO",G226="ÁNO",G228="ÁNO",G230="ÁNO",G232="ÁNO"),"SÚ VYPLNENÉ VŠETKY ČESTNÉ PREHLÁSENIA","NIE SÚ SPLNENÉ PODMIENKY PODANIA ŽIADOSTI (BOD 6 USMERNENIA)")</f>
        <v>NIE SÚ SPLNENÉ PODMIENKY PODANIA ŽIADOSTI (BOD 6 USMERNENIA)</v>
      </c>
      <c r="C235" s="195"/>
      <c r="D235" s="195"/>
      <c r="E235" s="195"/>
      <c r="F235" s="195"/>
      <c r="G235" s="91"/>
    </row>
    <row r="236" spans="1:10" ht="24.95" customHeight="1" thickBot="1" x14ac:dyDescent="0.3">
      <c r="B236" s="194" t="str">
        <f>IF(OR(B234=365,B234=364,B234=363,B234=362,B234=366),"Počet dní oprávneného obdobia je v limite","Nesedí počet dní oprávneného obdobia")</f>
        <v>Nesedí počet dní oprávneného obdobia</v>
      </c>
      <c r="C236" s="195"/>
      <c r="D236" s="195"/>
      <c r="E236" s="195"/>
      <c r="F236" s="195"/>
      <c r="G236" s="91"/>
    </row>
    <row r="237" spans="1:10" x14ac:dyDescent="0.25">
      <c r="B237" s="187"/>
      <c r="G237" s="91"/>
    </row>
    <row r="238" spans="1:10" ht="15.75" thickBot="1" x14ac:dyDescent="0.3">
      <c r="B238" s="188"/>
      <c r="G238" s="91"/>
    </row>
    <row r="239" spans="1:10" x14ac:dyDescent="0.25">
      <c r="G239" s="91"/>
    </row>
    <row r="240" spans="1:10" x14ac:dyDescent="0.25">
      <c r="G240" s="91"/>
    </row>
    <row r="241" spans="7:7" x14ac:dyDescent="0.25">
      <c r="G241" s="91"/>
    </row>
    <row r="242" spans="7:7" x14ac:dyDescent="0.25">
      <c r="G242" s="91"/>
    </row>
    <row r="243" spans="7:7" x14ac:dyDescent="0.25">
      <c r="G243" s="91"/>
    </row>
    <row r="244" spans="7:7" x14ac:dyDescent="0.25">
      <c r="G244" s="91"/>
    </row>
    <row r="245" spans="7:7" x14ac:dyDescent="0.25">
      <c r="G245" s="91"/>
    </row>
  </sheetData>
  <sheetProtection algorithmName="SHA-512" hashValue="I6ySZTELMIg59KAl8dEGDzR+DTKlxvHt7S17ni4qUj2OPUtyFwQqRMyLcSFW5iKycq2wzGRlW9FjLCycV7n3tA==" saltValue="T2pOJYEUpoQzdU197Ydv8A==" spinCount="100000" sheet="1" objects="1" scenarios="1"/>
  <mergeCells count="76">
    <mergeCell ref="B141:F141"/>
    <mergeCell ref="B78:F78"/>
    <mergeCell ref="B79:F79"/>
    <mergeCell ref="B87:F87"/>
    <mergeCell ref="B105:F105"/>
    <mergeCell ref="B106:F106"/>
    <mergeCell ref="B114:F114"/>
    <mergeCell ref="B132:F132"/>
    <mergeCell ref="B133:F133"/>
    <mergeCell ref="B88:C88"/>
    <mergeCell ref="A62:A89"/>
    <mergeCell ref="A90:A116"/>
    <mergeCell ref="A117:A143"/>
    <mergeCell ref="B222:F222"/>
    <mergeCell ref="B224:F224"/>
    <mergeCell ref="B109:F109"/>
    <mergeCell ref="B76:F76"/>
    <mergeCell ref="B97:F97"/>
    <mergeCell ref="B100:F100"/>
    <mergeCell ref="B103:F103"/>
    <mergeCell ref="B73:F73"/>
    <mergeCell ref="B200:F200"/>
    <mergeCell ref="B82:F82"/>
    <mergeCell ref="B85:F85"/>
    <mergeCell ref="B91:C91"/>
    <mergeCell ref="B94:F94"/>
    <mergeCell ref="B1:F1"/>
    <mergeCell ref="B13:F13"/>
    <mergeCell ref="B16:C16"/>
    <mergeCell ref="E16:F16"/>
    <mergeCell ref="B55:F55"/>
    <mergeCell ref="B32:C32"/>
    <mergeCell ref="B58:F58"/>
    <mergeCell ref="B64:C64"/>
    <mergeCell ref="B67:F67"/>
    <mergeCell ref="B70:F70"/>
    <mergeCell ref="B37:F37"/>
    <mergeCell ref="B43:F43"/>
    <mergeCell ref="B46:F46"/>
    <mergeCell ref="B49:F49"/>
    <mergeCell ref="B52:F52"/>
    <mergeCell ref="J36:J37"/>
    <mergeCell ref="B154:C154"/>
    <mergeCell ref="E154:F154"/>
    <mergeCell ref="B112:F112"/>
    <mergeCell ref="B118:C118"/>
    <mergeCell ref="B121:F121"/>
    <mergeCell ref="B124:F124"/>
    <mergeCell ref="B127:F127"/>
    <mergeCell ref="B130:F130"/>
    <mergeCell ref="B136:F136"/>
    <mergeCell ref="B139:F139"/>
    <mergeCell ref="B148:F148"/>
    <mergeCell ref="B151:F151"/>
    <mergeCell ref="B142:C142"/>
    <mergeCell ref="B115:C115"/>
    <mergeCell ref="J81:J82"/>
    <mergeCell ref="J200:J221"/>
    <mergeCell ref="B202:F202"/>
    <mergeCell ref="B204:F204"/>
    <mergeCell ref="B206:F206"/>
    <mergeCell ref="B208:F208"/>
    <mergeCell ref="B210:F210"/>
    <mergeCell ref="B212:F212"/>
    <mergeCell ref="B214:F214"/>
    <mergeCell ref="B216:F216"/>
    <mergeCell ref="B218:F218"/>
    <mergeCell ref="B220:F220"/>
    <mergeCell ref="B236:F236"/>
    <mergeCell ref="B235:F235"/>
    <mergeCell ref="B237:B238"/>
    <mergeCell ref="B166:G166"/>
    <mergeCell ref="B230:F230"/>
    <mergeCell ref="B232:F232"/>
    <mergeCell ref="B226:F226"/>
    <mergeCell ref="B228:F228"/>
  </mergeCells>
  <dataValidations xWindow="405" yWindow="472" count="19">
    <dataValidation type="list" allowBlank="1" showInputMessage="1" showErrorMessage="1" prompt="ZVOLIŤ MOŽNOSŤ" sqref="G202 G204 G206 G208 G210 G212 G214 G216 G218 G220 G230 G222 G224 G226 G228 G232:G233">
      <formula1>"Zvoliť možnosť, ÁNO, NIE"</formula1>
    </dataValidation>
    <dataValidation type="date" allowBlank="1" showInputMessage="1" showErrorMessage="1" error="Údaj nie je v požadovanom rozsahu" prompt="Zadajte začiatok platnosti počas roku 2026. Údaj musí nadväzovať na koniec platnosti predchádzajúceho cenového rozhodnutia." sqref="E118">
      <formula1>46023</formula1>
      <formula2>46387</formula2>
    </dataValidation>
    <dataValidation type="whole" showInputMessage="1" showErrorMessage="1" sqref="B234">
      <formula1>0</formula1>
      <formula2>366</formula2>
    </dataValidation>
    <dataValidation type="date" allowBlank="1" showInputMessage="1" showErrorMessage="1" errorTitle="chyba hodnoty" error="Údaj nie je v požadovanom rozsahu. Upravte" promptTitle="Platnosť rozhodnutia" prompt="Zadajte prosim začiatok platnosti cenového rozhodnutia URSO v roku 2026 (v prípade ak je platné už od roku 2025, pre účely výpočtu úhrady prosíme uviesť dátum 1.1.2026)" sqref="E64">
      <formula1>46023</formula1>
      <formula2>46387</formula2>
    </dataValidation>
    <dataValidation type="date" allowBlank="1" showInputMessage="1" showErrorMessage="1" errorTitle="chyba hodnoty" error="Údaj nie je v požadovanom rozsahu. Upravte" promptTitle="Platnosť rozhodnutia " prompt="Ak dĺžka platnosti presahuje rok 2026, pre účelvýpočtu úhrady uveďte prosím dátum 31.12.2026. Ak sú vydané v priebehu roka ďalšie cenové rozhodnutia (napr. od 1.2.2026), uveďte prosím posledný deň platnosti tohto rozhodnutia (napr. 31.1.2026)." sqref="F64">
      <formula1>46023</formula1>
      <formula2>46387</formula2>
    </dataValidation>
    <dataValidation allowBlank="1" showErrorMessage="1" promptTitle="2he cenove" prompt="´" sqref="B91:C91"/>
    <dataValidation allowBlank="1" showErrorMessage="1" promptTitle="3tie cenové" prompt="Zadajte prosim čislo tretieho cenového rozhodnutia počas roka 2024 a jeho platnosť" sqref="B118:C118"/>
    <dataValidation allowBlank="1" showInputMessage="1" showErrorMessage="1" promptTitle="Prvé cenové rozhodnutie 2026" prompt="Zadajte prosím prvé cenové rozhodnutie ÚRSO platné pre rok 2026 a  vyberte obdobie platnosti v rámci roka 2026. Nižšie (od bunky B89) vyplňte údaje v prípade, ak vám boli vydané viaceré cenové rozhodnutia platné pre rok 2026." sqref="B64:C64"/>
    <dataValidation allowBlank="1" showErrorMessage="1" promptTitle="2022" sqref="B43:F43"/>
    <dataValidation allowBlank="1" showErrorMessage="1" sqref="B46:F46"/>
    <dataValidation allowBlank="1" showInputMessage="1" showErrorMessage="1" prompt="Platnosť cenového rozhodnutia uvádzajte na celé mesiace._x000a_Príklad:_x000a_- platnosť do 15. v mesiaci - v talčive uveďte 1. v mesiaci _x000a_- platnosť po 15. v mesiaci - v talčive uveďte 1. nasledujúceho mesiaca" sqref="E63:F63 E90:F90 E117:F117"/>
    <dataValidation type="date" allowBlank="1" showInputMessage="1" showErrorMessage="1" errorTitle="chyba hodnoty" error="Údaj nie je v požadovanom rozsahu" prompt="Zadajte začiatok platnosti počas roku 2026. Údaj musí nadväzovať na koniec platnosti predchádzajúceho cenového rozhodnutia." sqref="E91">
      <formula1>46023</formula1>
      <formula2>46387</formula2>
    </dataValidation>
    <dataValidation type="date" allowBlank="1" showInputMessage="1" showErrorMessage="1" error="Údaj nie je v požadovanom rozsahu" prompt="Zadajte koniec platnosti počas roku 2026. Ak platnosť cenového rozhodnutia presahuje rok 2026 pre účely výpočtu úhrady uveďte 31.12.2026" sqref="F91">
      <formula1>46023</formula1>
      <formula2>46387</formula2>
    </dataValidation>
    <dataValidation type="date" operator="equal" allowBlank="1" showInputMessage="1" showErrorMessage="1" error="Údaj nie je v požadovanom rozsahu" prompt="Zadajte koniec platnosti počas roku 2026. Ak platnosť cenového rozhodnutia presahuje rok 2026 pre účely výpočtu úhrady uveďte 31.12.2026" sqref="F118">
      <formula1>46387</formula1>
    </dataValidation>
    <dataValidation type="textLength" showInputMessage="1" showErrorMessage="1" error="Uvádzať bez medzier" sqref="B37:F37">
      <formula1>20</formula1>
      <formula2>24</formula2>
    </dataValidation>
    <dataValidation allowBlank="1" showInputMessage="1" showErrorMessage="1" error="Uvádzať bez medzier" prompt="Uvádzať bez medzier" sqref="B36"/>
    <dataValidation allowBlank="1" showInputMessage="1" showErrorMessage="1" error="V prípade, ak je údaj kratší ako 8 znakov je potrebné pred neho uviesť potrebný počet znakov 0" prompt="V prípade, ak je údaj kratší ako 8 znakov je potrebné pred neho uviesť potrebný počet znakov 0" sqref="B5"/>
    <dataValidation type="textLength" showInputMessage="1" showErrorMessage="1" error="V prípade, ak je údaj kratší ako 8 znakov je potrebné pred neho uviesť potrebný počet znakov 0" sqref="B6:B7">
      <formula1>8</formula1>
      <formula2>8</formula2>
    </dataValidation>
    <dataValidation showInputMessage="1" showErrorMessage="1" sqref="B8"/>
  </dataValidations>
  <pageMargins left="0.7" right="0.7" top="0.75" bottom="0.75" header="0.3" footer="0.3"/>
  <pageSetup paperSize="8" fitToHeight="0" orientation="landscape" r:id="rId1"/>
  <extLst>
    <ext xmlns:x14="http://schemas.microsoft.com/office/spreadsheetml/2009/9/main" uri="{CCE6A557-97BC-4b89-ADB6-D9C93CAAB3DF}">
      <x14:dataValidations xmlns:xm="http://schemas.microsoft.com/office/excel/2006/main" xWindow="405" yWindow="472" count="1">
        <x14:dataValidation type="list" allowBlank="1" showInputMessage="1" showErrorMessage="1">
          <x14:formula1>
            <xm:f>Okresy!$A$1:$A$79</xm:f>
          </x14:formula1>
          <xm:sqref>F23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
  <sheetViews>
    <sheetView topLeftCell="N1" workbookViewId="0">
      <selection activeCell="O5" sqref="O5"/>
    </sheetView>
  </sheetViews>
  <sheetFormatPr defaultRowHeight="15" x14ac:dyDescent="0.25"/>
  <cols>
    <col min="1" max="1" width="26.5703125" hidden="1" customWidth="1"/>
    <col min="2" max="2" width="17.7109375" hidden="1" customWidth="1"/>
    <col min="3" max="3" width="12.5703125" hidden="1" customWidth="1"/>
    <col min="4" max="4" width="27.42578125" hidden="1" customWidth="1"/>
    <col min="5" max="5" width="9.140625" hidden="1" customWidth="1"/>
    <col min="6" max="6" width="10.85546875" hidden="1" customWidth="1"/>
    <col min="7" max="7" width="12.85546875" hidden="1" customWidth="1"/>
    <col min="8" max="8" width="10.140625" hidden="1" customWidth="1"/>
    <col min="9" max="9" width="13.42578125" hidden="1" customWidth="1"/>
    <col min="10" max="10" width="16.42578125" hidden="1" customWidth="1"/>
    <col min="11" max="11" width="32.42578125" hidden="1" customWidth="1"/>
    <col min="12" max="12" width="27" hidden="1" customWidth="1"/>
    <col min="13" max="13" width="12" hidden="1" customWidth="1"/>
  </cols>
  <sheetData>
    <row r="1" spans="1:22" x14ac:dyDescent="0.25">
      <c r="A1" s="90" t="s">
        <v>226</v>
      </c>
      <c r="B1" s="90" t="s">
        <v>227</v>
      </c>
      <c r="C1" s="90" t="s">
        <v>228</v>
      </c>
      <c r="D1" s="90" t="s">
        <v>221</v>
      </c>
      <c r="E1" s="91"/>
      <c r="F1" s="90" t="s">
        <v>223</v>
      </c>
      <c r="G1" s="90" t="s">
        <v>225</v>
      </c>
      <c r="H1" s="90" t="s">
        <v>224</v>
      </c>
      <c r="I1" s="90" t="s">
        <v>228</v>
      </c>
      <c r="J1" s="90" t="s">
        <v>222</v>
      </c>
      <c r="K1" s="90" t="s">
        <v>220</v>
      </c>
      <c r="L1" s="90" t="s">
        <v>229</v>
      </c>
      <c r="M1" s="91" t="s">
        <v>230</v>
      </c>
      <c r="N1" s="91"/>
      <c r="O1" s="91"/>
    </row>
    <row r="2" spans="1:22" x14ac:dyDescent="0.25">
      <c r="A2" s="92" t="str">
        <f>IF(Formulár!E64="", "", Formulár!E64)</f>
        <v/>
      </c>
      <c r="B2" s="92" t="str">
        <f>IF(Formulár!F64="", "", Formulár!F64)</f>
        <v/>
      </c>
      <c r="C2" s="93" t="str">
        <f>IF(Formulár!B88="", "", Formulár!B88)</f>
        <v>Vyplňte formulár kompletne</v>
      </c>
      <c r="D2" s="94" t="str">
        <f>IF(Formulár!E64="", "",SUMIFS($H$2:$H$13, $G$2:$G$13, "&gt;=" &amp; MONTH(DATEVALUE(TEXT(A2, "mmmm") &amp; " 1")), $G$2:$G$13, "&lt;=" &amp; MONTH(DATEVALUE(TEXT(B2, "mmmm") &amp; " 1"))))</f>
        <v/>
      </c>
      <c r="E2" s="91"/>
      <c r="F2" s="95" t="s">
        <v>249</v>
      </c>
      <c r="G2" s="95">
        <f>MONTH(DATEVALUE(F2&amp; " 1"))</f>
        <v>1</v>
      </c>
      <c r="H2" s="94">
        <v>0.17599999999999999</v>
      </c>
      <c r="I2" s="93">
        <f t="shared" ref="I2:I13" si="0">IFERROR(SUMIFS($C$2:$C$4, $A$2:$A$4, "&lt;="&amp;EOMONTH(DATE(YEAR(INDEX($A$2:$A$4, MATCH(MAX($A$2:$A$4), $A$2:$A$4, 1))), G2, 1), 0), $B$2:$B$4, "&gt;="&amp;DATE(YEAR(INDEX($B$2:$B$4, MATCH(MAX($B$2:$B$4), $B$2:$B$4, 1))), G2, 1)), "")</f>
        <v>0</v>
      </c>
      <c r="J2" s="94">
        <f>IFERROR(SUMIFS($D$2:$D$4, $A$2:$A$4, "&lt;="&amp;EOMONTH(DATE(YEAR(INDEX($A$2:$A$4, MATCH(MAX($A$2:$A$4), $A$2:$A$4, 1))), G2, 1), 0), $B$2:$B$4, "&gt;="&amp;DATE(YEAR(INDEX($B$2:$B$4, MATCH(MAX($B$2:$B$4), $B$2:$B$4, 1))), G2, 1)), "")</f>
        <v>0</v>
      </c>
      <c r="K2" s="94" t="e">
        <f>H2/J2</f>
        <v>#DIV/0!</v>
      </c>
      <c r="L2" s="93" t="e">
        <f t="shared" ref="L2:L13" si="1">I2*K2</f>
        <v>#DIV/0!</v>
      </c>
      <c r="M2" s="91">
        <v>486333.41777854529</v>
      </c>
      <c r="N2" s="96"/>
      <c r="O2" s="91"/>
      <c r="Q2" s="77"/>
      <c r="R2" s="77"/>
      <c r="V2" s="77"/>
    </row>
    <row r="3" spans="1:22" x14ac:dyDescent="0.25">
      <c r="A3" s="92" t="str">
        <f>IF(Formulár!E91="", "", Formulár!E91)</f>
        <v/>
      </c>
      <c r="B3" s="92" t="str">
        <f>IF(Formulár!F91="", "", Formulár!F91)</f>
        <v/>
      </c>
      <c r="C3" s="93" t="str">
        <f>IF(Formulár!B115="", "", Formulár!B115)</f>
        <v>0</v>
      </c>
      <c r="D3" s="94" t="str">
        <f>IF(Formulár!E91="", "",SUMIFS($H$2:$H$13, $G$2:$G$13, "&gt;=" &amp; MONTH(DATEVALUE(TEXT(A3, "mmmm") &amp; " 1")), $G$2:$G$13, "&lt;=" &amp; MONTH(DATEVALUE(TEXT(B3, "mmmm") &amp; " 1"))))</f>
        <v/>
      </c>
      <c r="E3" s="91"/>
      <c r="F3" s="95" t="s">
        <v>250</v>
      </c>
      <c r="G3" s="95">
        <f t="shared" ref="G3:G13" si="2">MONTH(DATEVALUE(F3&amp; " 1"))</f>
        <v>2</v>
      </c>
      <c r="H3" s="94">
        <v>0.14499999999999999</v>
      </c>
      <c r="I3" s="93">
        <f t="shared" si="0"/>
        <v>0</v>
      </c>
      <c r="J3" s="94">
        <f t="shared" ref="J3:J13" si="3">IFERROR(SUMIFS($D$2:$D$4, $A$2:$A$4, "&lt;="&amp;EOMONTH(DATE(YEAR(INDEX($A$2:$A$4, MATCH(MAX($A$2:$A$4), $A$2:$A$4, 1))), G3, 1), 0), $B$2:$B$4, "&gt;="&amp;DATE(YEAR(INDEX($B$2:$B$4, MATCH(MAX($B$2:$B$4), $B$2:$B$4, 1))), G3, 1)), "")</f>
        <v>0</v>
      </c>
      <c r="K3" s="94" t="e">
        <f t="shared" ref="K3:K13" si="4">H3/J3</f>
        <v>#DIV/0!</v>
      </c>
      <c r="L3" s="93" t="e">
        <f t="shared" si="1"/>
        <v>#DIV/0!</v>
      </c>
      <c r="M3" s="91">
        <v>400672.41805618786</v>
      </c>
      <c r="N3" s="91"/>
      <c r="O3" s="91"/>
    </row>
    <row r="4" spans="1:22" x14ac:dyDescent="0.25">
      <c r="A4" s="92" t="str">
        <f>IF(Formulár!E118="", "", Formulár!E118)</f>
        <v/>
      </c>
      <c r="B4" s="92" t="str">
        <f>IF(Formulár!F118="", "", Formulár!F118)</f>
        <v/>
      </c>
      <c r="C4" s="93" t="str">
        <f>IF(Formulár!B142="", "", Formulár!B142)</f>
        <v>0</v>
      </c>
      <c r="D4" s="94" t="str">
        <f>IF(Formulár!E118="", "",SUMIFS($H$2:$H$13, $G$2:$G$13, "&gt;=" &amp; MONTH(DATEVALUE(TEXT(A4, "mmmm") &amp; " 1")), $G$2:$G$13, "&lt;=" &amp; MONTH(DATEVALUE(TEXT(B4, "mmmm") &amp; " 1"))))</f>
        <v/>
      </c>
      <c r="E4" s="91"/>
      <c r="F4" s="95" t="s">
        <v>251</v>
      </c>
      <c r="G4" s="95">
        <f t="shared" si="2"/>
        <v>3</v>
      </c>
      <c r="H4" s="94">
        <v>0.14000000000000001</v>
      </c>
      <c r="I4" s="93">
        <f t="shared" si="0"/>
        <v>0</v>
      </c>
      <c r="J4" s="94">
        <f t="shared" si="3"/>
        <v>0</v>
      </c>
      <c r="K4" s="94" t="e">
        <f t="shared" si="4"/>
        <v>#DIV/0!</v>
      </c>
      <c r="L4" s="93" t="e">
        <f t="shared" si="1"/>
        <v>#DIV/0!</v>
      </c>
      <c r="M4" s="91">
        <v>386856.12777838839</v>
      </c>
      <c r="N4" s="91"/>
      <c r="O4" s="91"/>
      <c r="Q4" s="77"/>
      <c r="R4" s="77"/>
    </row>
    <row r="5" spans="1:22" x14ac:dyDescent="0.25">
      <c r="A5" s="91"/>
      <c r="B5" s="97" t="s">
        <v>233</v>
      </c>
      <c r="C5" s="97">
        <f>SUM(C2:C4)</f>
        <v>0</v>
      </c>
      <c r="D5" s="98">
        <f>SUM(D2:D4)</f>
        <v>0</v>
      </c>
      <c r="E5" s="91"/>
      <c r="F5" s="95" t="s">
        <v>252</v>
      </c>
      <c r="G5" s="95">
        <f t="shared" si="2"/>
        <v>4</v>
      </c>
      <c r="H5" s="94">
        <v>0.09</v>
      </c>
      <c r="I5" s="93">
        <f t="shared" si="0"/>
        <v>0</v>
      </c>
      <c r="J5" s="94">
        <f t="shared" si="3"/>
        <v>0</v>
      </c>
      <c r="K5" s="94" t="e">
        <f t="shared" si="4"/>
        <v>#DIV/0!</v>
      </c>
      <c r="L5" s="93" t="e">
        <f t="shared" si="1"/>
        <v>#DIV/0!</v>
      </c>
      <c r="M5" s="91">
        <v>248693.2250003925</v>
      </c>
      <c r="N5" s="91"/>
      <c r="O5" s="91"/>
    </row>
    <row r="6" spans="1:22" x14ac:dyDescent="0.25">
      <c r="A6" s="91"/>
      <c r="B6" s="91"/>
      <c r="C6" s="91"/>
      <c r="D6" s="91"/>
      <c r="E6" s="91"/>
      <c r="F6" s="95" t="s">
        <v>253</v>
      </c>
      <c r="G6" s="95">
        <f t="shared" si="2"/>
        <v>5</v>
      </c>
      <c r="H6" s="94">
        <v>0.02</v>
      </c>
      <c r="I6" s="93">
        <f t="shared" si="0"/>
        <v>0</v>
      </c>
      <c r="J6" s="94">
        <f t="shared" si="3"/>
        <v>0</v>
      </c>
      <c r="K6" s="94" t="e">
        <f t="shared" si="4"/>
        <v>#DIV/0!</v>
      </c>
      <c r="L6" s="93" t="e">
        <f t="shared" si="1"/>
        <v>#DIV/0!</v>
      </c>
      <c r="M6" s="91">
        <v>55265.161111198329</v>
      </c>
      <c r="N6" s="91"/>
      <c r="O6" s="91"/>
      <c r="Q6" s="77"/>
      <c r="R6" s="77"/>
    </row>
    <row r="7" spans="1:22" x14ac:dyDescent="0.25">
      <c r="A7" s="91"/>
      <c r="B7" s="91"/>
      <c r="C7" s="91"/>
      <c r="D7" s="91"/>
      <c r="E7" s="91"/>
      <c r="F7" s="95" t="s">
        <v>254</v>
      </c>
      <c r="G7" s="95">
        <f t="shared" si="2"/>
        <v>6</v>
      </c>
      <c r="H7" s="94">
        <v>1.6E-2</v>
      </c>
      <c r="I7" s="93">
        <f t="shared" si="0"/>
        <v>0</v>
      </c>
      <c r="J7" s="94">
        <f t="shared" si="3"/>
        <v>0</v>
      </c>
      <c r="K7" s="94" t="e">
        <f t="shared" si="4"/>
        <v>#DIV/0!</v>
      </c>
      <c r="L7" s="93" t="e">
        <f t="shared" si="1"/>
        <v>#DIV/0!</v>
      </c>
      <c r="M7" s="91">
        <v>86040.986867539032</v>
      </c>
      <c r="N7" s="91"/>
      <c r="O7" s="91"/>
    </row>
    <row r="8" spans="1:22" x14ac:dyDescent="0.25">
      <c r="A8" s="99" t="s">
        <v>174</v>
      </c>
      <c r="B8" s="100" cm="1">
        <f t="array" ref="B8:C8">Formulár!B154:C154</f>
        <v>0</v>
      </c>
      <c r="C8" s="91">
        <v>0</v>
      </c>
      <c r="D8" s="91"/>
      <c r="E8" s="91"/>
      <c r="F8" s="95" t="s">
        <v>255</v>
      </c>
      <c r="G8" s="95">
        <f t="shared" si="2"/>
        <v>7</v>
      </c>
      <c r="H8" s="94">
        <v>1.6E-2</v>
      </c>
      <c r="I8" s="93">
        <f t="shared" si="0"/>
        <v>0</v>
      </c>
      <c r="J8" s="94">
        <f t="shared" si="3"/>
        <v>0</v>
      </c>
      <c r="K8" s="94" t="e">
        <f t="shared" si="4"/>
        <v>#DIV/0!</v>
      </c>
      <c r="L8" s="93" t="e">
        <f t="shared" si="1"/>
        <v>#DIV/0!</v>
      </c>
      <c r="M8" s="91">
        <v>86040.986867539032</v>
      </c>
      <c r="N8" s="91"/>
      <c r="O8" s="91"/>
    </row>
    <row r="9" spans="1:22" x14ac:dyDescent="0.25">
      <c r="A9" s="91"/>
      <c r="B9" s="91"/>
      <c r="C9" s="91"/>
      <c r="D9" s="91"/>
      <c r="E9" s="91"/>
      <c r="F9" s="95" t="s">
        <v>205</v>
      </c>
      <c r="G9" s="95">
        <f t="shared" si="2"/>
        <v>8</v>
      </c>
      <c r="H9" s="94">
        <v>1.6E-2</v>
      </c>
      <c r="I9" s="93">
        <f t="shared" si="0"/>
        <v>0</v>
      </c>
      <c r="J9" s="94">
        <f t="shared" si="3"/>
        <v>0</v>
      </c>
      <c r="K9" s="94" t="e">
        <f t="shared" si="4"/>
        <v>#DIV/0!</v>
      </c>
      <c r="L9" s="93" t="e">
        <f t="shared" si="1"/>
        <v>#DIV/0!</v>
      </c>
      <c r="M9" s="91">
        <v>86040.986867539032</v>
      </c>
      <c r="N9" s="91"/>
      <c r="O9" s="91"/>
    </row>
    <row r="10" spans="1:22" x14ac:dyDescent="0.25">
      <c r="A10" s="91"/>
      <c r="B10" s="91"/>
      <c r="C10" s="91"/>
      <c r="D10" s="91"/>
      <c r="E10" s="91"/>
      <c r="F10" s="95" t="s">
        <v>206</v>
      </c>
      <c r="G10" s="95">
        <f t="shared" si="2"/>
        <v>9</v>
      </c>
      <c r="H10" s="94">
        <v>0.02</v>
      </c>
      <c r="I10" s="93">
        <f t="shared" si="0"/>
        <v>0</v>
      </c>
      <c r="J10" s="94">
        <f t="shared" si="3"/>
        <v>0</v>
      </c>
      <c r="K10" s="94" t="e">
        <f t="shared" si="4"/>
        <v>#DIV/0!</v>
      </c>
      <c r="L10" s="93" t="e">
        <f t="shared" si="1"/>
        <v>#DIV/0!</v>
      </c>
      <c r="M10" s="91">
        <v>107551.2335844238</v>
      </c>
      <c r="N10" s="91"/>
      <c r="O10" s="91"/>
    </row>
    <row r="11" spans="1:22" x14ac:dyDescent="0.25">
      <c r="A11" s="91"/>
      <c r="B11" s="91"/>
      <c r="C11" s="91"/>
      <c r="D11" s="91"/>
      <c r="E11" s="91"/>
      <c r="F11" s="95" t="s">
        <v>256</v>
      </c>
      <c r="G11" s="95">
        <f t="shared" si="2"/>
        <v>10</v>
      </c>
      <c r="H11" s="94">
        <v>0.08</v>
      </c>
      <c r="I11" s="93">
        <f t="shared" si="0"/>
        <v>0</v>
      </c>
      <c r="J11" s="94">
        <f t="shared" si="3"/>
        <v>0</v>
      </c>
      <c r="K11" s="94" t="e">
        <f t="shared" si="4"/>
        <v>#DIV/0!</v>
      </c>
      <c r="L11" s="93" t="e">
        <f t="shared" si="1"/>
        <v>#DIV/0!</v>
      </c>
      <c r="M11" s="91">
        <v>393299.06929211592</v>
      </c>
      <c r="N11" s="91"/>
      <c r="O11" s="91"/>
    </row>
    <row r="12" spans="1:22" x14ac:dyDescent="0.25">
      <c r="A12" s="91"/>
      <c r="B12" s="101"/>
      <c r="C12" s="91"/>
      <c r="D12" s="91"/>
      <c r="E12" s="91"/>
      <c r="F12" s="95" t="s">
        <v>208</v>
      </c>
      <c r="G12" s="95">
        <f t="shared" si="2"/>
        <v>11</v>
      </c>
      <c r="H12" s="94">
        <v>0.12</v>
      </c>
      <c r="I12" s="93">
        <f t="shared" si="0"/>
        <v>0</v>
      </c>
      <c r="J12" s="94">
        <f t="shared" si="3"/>
        <v>0</v>
      </c>
      <c r="K12" s="94" t="e">
        <f t="shared" si="4"/>
        <v>#DIV/0!</v>
      </c>
      <c r="L12" s="93" t="e">
        <f t="shared" si="1"/>
        <v>#DIV/0!</v>
      </c>
      <c r="M12" s="91">
        <v>589948.60393817385</v>
      </c>
      <c r="N12" s="91"/>
      <c r="O12" s="91"/>
    </row>
    <row r="13" spans="1:22" x14ac:dyDescent="0.25">
      <c r="A13" s="91"/>
      <c r="B13" s="91"/>
      <c r="C13" s="91"/>
      <c r="D13" s="91"/>
      <c r="E13" s="91"/>
      <c r="F13" s="95" t="s">
        <v>209</v>
      </c>
      <c r="G13" s="95">
        <f t="shared" si="2"/>
        <v>12</v>
      </c>
      <c r="H13" s="94">
        <v>0.161</v>
      </c>
      <c r="I13" s="93">
        <f t="shared" si="0"/>
        <v>0</v>
      </c>
      <c r="J13" s="94">
        <f t="shared" si="3"/>
        <v>0</v>
      </c>
      <c r="K13" s="94" t="e">
        <f t="shared" si="4"/>
        <v>#DIV/0!</v>
      </c>
      <c r="L13" s="93" t="e">
        <f t="shared" si="1"/>
        <v>#DIV/0!</v>
      </c>
      <c r="M13" s="91">
        <v>791514.37695038319</v>
      </c>
      <c r="N13" s="91"/>
      <c r="O13" s="91"/>
    </row>
    <row r="14" spans="1:22" x14ac:dyDescent="0.25">
      <c r="A14" s="91"/>
      <c r="B14" s="91"/>
      <c r="C14" s="91"/>
      <c r="D14" s="91"/>
      <c r="E14" s="91"/>
      <c r="F14" s="91"/>
      <c r="G14" s="91"/>
      <c r="H14" s="91"/>
      <c r="I14" s="91"/>
      <c r="J14" s="91"/>
      <c r="K14" s="102" t="s">
        <v>231</v>
      </c>
      <c r="L14" s="97" t="e">
        <f>SUM(L2:L13)</f>
        <v>#DIV/0!</v>
      </c>
      <c r="M14" s="91">
        <f>SUM(M2:M13)</f>
        <v>3718256.5940924264</v>
      </c>
      <c r="N14" s="91"/>
      <c r="O14" s="91"/>
    </row>
    <row r="15" spans="1:22" x14ac:dyDescent="0.25">
      <c r="A15" s="91"/>
      <c r="B15" s="91"/>
      <c r="C15" s="91"/>
      <c r="D15" s="91"/>
      <c r="E15" s="91"/>
      <c r="F15" s="91"/>
      <c r="G15" s="91"/>
      <c r="H15" s="91"/>
      <c r="I15" s="91"/>
      <c r="J15" s="91"/>
      <c r="K15" s="91"/>
      <c r="L15" s="91"/>
      <c r="M15" s="91"/>
      <c r="N15" s="91"/>
      <c r="O15" s="91"/>
    </row>
    <row r="16" spans="1:22" x14ac:dyDescent="0.25">
      <c r="A16" s="91"/>
      <c r="B16" s="91"/>
      <c r="C16" s="91"/>
      <c r="D16" s="91"/>
      <c r="E16" s="91"/>
      <c r="F16" s="91"/>
      <c r="G16" s="91"/>
      <c r="H16" s="91"/>
      <c r="I16" s="91"/>
      <c r="J16" s="91"/>
      <c r="K16" s="91"/>
      <c r="L16" s="91"/>
      <c r="M16" s="91"/>
      <c r="N16" s="91"/>
      <c r="O16" s="91"/>
    </row>
    <row r="17" spans="1:15" x14ac:dyDescent="0.25">
      <c r="A17" s="91"/>
      <c r="B17" s="91"/>
      <c r="C17" s="91"/>
      <c r="D17" s="231" t="s">
        <v>232</v>
      </c>
      <c r="E17" s="230" t="e">
        <f>IF(B8=L14, "Kalkulacia v poriadku", "Chybna kalkulacia")</f>
        <v>#DIV/0!</v>
      </c>
      <c r="F17" s="230"/>
      <c r="G17" s="230"/>
      <c r="H17" s="230"/>
      <c r="I17" s="230"/>
      <c r="J17" s="91"/>
      <c r="K17" s="91"/>
      <c r="L17" s="91"/>
      <c r="M17" s="91"/>
      <c r="N17" s="91"/>
      <c r="O17" s="91"/>
    </row>
    <row r="18" spans="1:15" x14ac:dyDescent="0.25">
      <c r="A18" s="91"/>
      <c r="B18" s="91"/>
      <c r="C18" s="91"/>
      <c r="D18" s="232"/>
      <c r="E18" s="230"/>
      <c r="F18" s="230"/>
      <c r="G18" s="230"/>
      <c r="H18" s="230"/>
      <c r="I18" s="230"/>
      <c r="J18" s="91"/>
      <c r="K18" s="91"/>
      <c r="L18" s="91"/>
      <c r="M18" s="91"/>
      <c r="N18" s="91"/>
      <c r="O18" s="91"/>
    </row>
    <row r="19" spans="1:15" x14ac:dyDescent="0.25">
      <c r="A19" s="91"/>
      <c r="B19" s="91"/>
      <c r="C19" s="91"/>
      <c r="D19" s="232"/>
      <c r="E19" s="230"/>
      <c r="F19" s="230"/>
      <c r="G19" s="230"/>
      <c r="H19" s="230"/>
      <c r="I19" s="230"/>
      <c r="J19" s="91"/>
      <c r="K19" s="91"/>
      <c r="L19" s="91"/>
      <c r="M19" s="91"/>
      <c r="N19" s="91"/>
      <c r="O19" s="91"/>
    </row>
    <row r="20" spans="1:15" x14ac:dyDescent="0.25">
      <c r="A20" s="91"/>
      <c r="B20" s="91"/>
      <c r="C20" s="91"/>
      <c r="D20" s="233"/>
      <c r="E20" s="230"/>
      <c r="F20" s="230"/>
      <c r="G20" s="230"/>
      <c r="H20" s="230"/>
      <c r="I20" s="230"/>
      <c r="J20" s="91"/>
      <c r="K20" s="91"/>
      <c r="L20" s="91"/>
      <c r="M20" s="91"/>
      <c r="N20" s="91"/>
      <c r="O20" s="91"/>
    </row>
    <row r="21" spans="1:15" x14ac:dyDescent="0.25">
      <c r="A21" s="91"/>
      <c r="B21" s="91"/>
      <c r="C21" s="91"/>
      <c r="D21" s="91"/>
      <c r="E21" s="91"/>
      <c r="F21" s="91"/>
      <c r="G21" s="91"/>
      <c r="H21" s="91"/>
      <c r="I21" s="91"/>
      <c r="J21" s="91"/>
      <c r="K21" s="91"/>
      <c r="L21" s="91"/>
      <c r="M21" s="91"/>
      <c r="N21" s="91"/>
      <c r="O21" s="91"/>
    </row>
    <row r="22" spans="1:15" x14ac:dyDescent="0.25">
      <c r="A22" s="91"/>
      <c r="B22" s="91"/>
      <c r="C22" s="91"/>
      <c r="D22" s="91"/>
      <c r="E22" s="91"/>
      <c r="F22" s="91"/>
      <c r="G22" s="91"/>
      <c r="H22" s="91"/>
      <c r="I22" s="91"/>
      <c r="J22" s="91"/>
      <c r="K22" s="91"/>
      <c r="L22" s="91"/>
      <c r="M22" s="91"/>
      <c r="N22" s="91"/>
      <c r="O22" s="91"/>
    </row>
    <row r="23" spans="1:15" x14ac:dyDescent="0.25">
      <c r="A23" s="91"/>
      <c r="B23" s="91"/>
      <c r="C23" s="91"/>
      <c r="D23" s="91"/>
      <c r="E23" s="91"/>
      <c r="F23" s="91"/>
      <c r="G23" s="91"/>
      <c r="H23" s="91"/>
      <c r="I23" s="91"/>
      <c r="J23" s="91"/>
      <c r="K23" s="91"/>
      <c r="L23" s="91"/>
      <c r="M23" s="91"/>
      <c r="N23" s="91"/>
      <c r="O23" s="91"/>
    </row>
  </sheetData>
  <sheetProtection algorithmName="SHA-512" hashValue="/BFSPfWbpp8j5CpBkPRZgYSVEoKH9VMAOgWp73MxZB1TbSFOYIMhgGsTNDFf1qQQN8Bj206BKVjTtDXcSXTpIw==" saltValue="JtG2T5p4tTtudGLOnGbeWg==" spinCount="100000" sheet="1" objects="1" scenarios="1" selectLockedCells="1" selectUnlockedCells="1"/>
  <mergeCells count="2">
    <mergeCell ref="E17:I20"/>
    <mergeCell ref="D17:D20"/>
  </mergeCells>
  <conditionalFormatting sqref="E17:I20">
    <cfRule type="expression" dxfId="1" priority="1">
      <formula>$B$8=$L$14</formula>
    </cfRule>
    <cfRule type="expression" dxfId="0" priority="2">
      <formula>$B$8&lt;&gt;$L$14</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topLeftCell="I1" workbookViewId="0">
      <selection sqref="A1:H1048576"/>
    </sheetView>
  </sheetViews>
  <sheetFormatPr defaultRowHeight="15" x14ac:dyDescent="0.25"/>
  <cols>
    <col min="1" max="1" width="10.85546875" hidden="1" customWidth="1"/>
    <col min="2" max="2" width="11.85546875" hidden="1" customWidth="1"/>
    <col min="3" max="3" width="15.42578125" hidden="1" customWidth="1"/>
    <col min="4" max="5" width="15.5703125" hidden="1" customWidth="1"/>
    <col min="6" max="8" width="9.140625" hidden="1" customWidth="1"/>
    <col min="13" max="13" width="20.42578125" bestFit="1" customWidth="1"/>
  </cols>
  <sheetData>
    <row r="1" spans="1:13" ht="15.75" thickBot="1" x14ac:dyDescent="0.3">
      <c r="A1" s="91" t="s">
        <v>223</v>
      </c>
      <c r="B1" s="91" t="s">
        <v>210</v>
      </c>
      <c r="C1" s="91" t="s">
        <v>197</v>
      </c>
      <c r="D1" s="103">
        <v>45292</v>
      </c>
      <c r="E1" s="104">
        <v>45443</v>
      </c>
      <c r="F1" s="105">
        <f>SUMIFS($C$2:$C$13, $B$2:$B$13, "&gt;=" &amp; MONTH(DATEVALUE(TEXT(D1, "mmmm") &amp; " 1")), $B$2:$B$13, "&lt;=" &amp; MONTH(DATEVALUE(TEXT(E1, "mmmm") &amp; " 1")))</f>
        <v>0.57099999999999995</v>
      </c>
      <c r="G1" s="106">
        <f>'Formulár povodny'!B84/'Formulár povodny'!B150</f>
        <v>0.44565103896519032</v>
      </c>
      <c r="H1" s="105">
        <f>(F1+G1)/2</f>
        <v>0.50832551948259508</v>
      </c>
    </row>
    <row r="2" spans="1:13" x14ac:dyDescent="0.25">
      <c r="A2" s="91" t="s">
        <v>249</v>
      </c>
      <c r="B2" s="91">
        <f>MONTH(DATEVALUE(A2&amp; " 1"))</f>
        <v>1</v>
      </c>
      <c r="C2" s="105">
        <v>0.17599999999999999</v>
      </c>
      <c r="D2" s="96">
        <f>'Formulár povodny'!E87</f>
        <v>45444</v>
      </c>
      <c r="E2" s="96">
        <f>'Formulár povodny'!F87</f>
        <v>45565</v>
      </c>
      <c r="F2" s="105">
        <f t="shared" ref="F2:F3" si="0">SUMIFS($C$2:$C$13, $B$2:$B$13, "&gt;=" &amp; MONTH(DATEVALUE(TEXT(D2, "mmmm") &amp; " 1")), $B$2:$B$13, "&lt;=" &amp; MONTH(DATEVALUE(TEXT(E2, "mmmm") &amp; " 1")))</f>
        <v>6.8000000000000005E-2</v>
      </c>
      <c r="G2" s="106">
        <f>'Formulár povodny'!B111/'Formulár povodny'!B150</f>
        <v>5.3072277845241593E-2</v>
      </c>
      <c r="H2" s="105">
        <f>(F2+G2)/2</f>
        <v>6.0536138922620802E-2</v>
      </c>
      <c r="K2" s="63"/>
      <c r="M2" s="74"/>
    </row>
    <row r="3" spans="1:13" x14ac:dyDescent="0.25">
      <c r="A3" s="91" t="s">
        <v>250</v>
      </c>
      <c r="B3" s="91">
        <f t="shared" ref="B3:B13" si="1">MONTH(DATEVALUE(A3&amp; " 1"))</f>
        <v>2</v>
      </c>
      <c r="C3" s="105">
        <v>0.14499999999999999</v>
      </c>
      <c r="D3" s="96">
        <f>'Formulár povodny'!E114</f>
        <v>45566</v>
      </c>
      <c r="E3" s="96">
        <f>'Formulár povodny'!F114</f>
        <v>45657</v>
      </c>
      <c r="F3" s="105">
        <f t="shared" si="0"/>
        <v>0.36099999999999999</v>
      </c>
      <c r="G3" s="106">
        <f>'Formulár povodny'!B138/'Formulár povodny'!B150</f>
        <v>0.50127668318956808</v>
      </c>
      <c r="H3" s="105">
        <f>(F3+G3)/2</f>
        <v>0.43113834159478404</v>
      </c>
      <c r="M3" s="87"/>
    </row>
    <row r="4" spans="1:13" x14ac:dyDescent="0.25">
      <c r="A4" s="91" t="s">
        <v>251</v>
      </c>
      <c r="B4" s="91">
        <f t="shared" si="1"/>
        <v>3</v>
      </c>
      <c r="C4" s="105">
        <v>0.14000000000000001</v>
      </c>
      <c r="D4" s="91"/>
      <c r="E4" s="91"/>
      <c r="F4" s="91"/>
      <c r="G4" s="91"/>
      <c r="H4" s="91"/>
    </row>
    <row r="5" spans="1:13" x14ac:dyDescent="0.25">
      <c r="A5" s="91" t="s">
        <v>252</v>
      </c>
      <c r="B5" s="91">
        <f t="shared" si="1"/>
        <v>4</v>
      </c>
      <c r="C5" s="105">
        <v>0.09</v>
      </c>
      <c r="D5" s="91"/>
      <c r="E5" s="91"/>
      <c r="F5" s="91"/>
      <c r="G5" s="91"/>
      <c r="H5" s="91"/>
    </row>
    <row r="6" spans="1:13" x14ac:dyDescent="0.25">
      <c r="A6" s="91" t="s">
        <v>253</v>
      </c>
      <c r="B6" s="91">
        <f t="shared" si="1"/>
        <v>5</v>
      </c>
      <c r="C6" s="105">
        <v>0.02</v>
      </c>
      <c r="D6" s="91"/>
      <c r="E6" s="91"/>
      <c r="F6" s="91"/>
      <c r="G6" s="91"/>
      <c r="H6" s="91"/>
    </row>
    <row r="7" spans="1:13" x14ac:dyDescent="0.25">
      <c r="A7" s="91" t="s">
        <v>254</v>
      </c>
      <c r="B7" s="91">
        <f t="shared" si="1"/>
        <v>6</v>
      </c>
      <c r="C7" s="105">
        <v>1.6E-2</v>
      </c>
      <c r="D7" s="91"/>
      <c r="E7" s="91"/>
      <c r="F7" s="91"/>
      <c r="G7" s="91"/>
      <c r="H7" s="91"/>
    </row>
    <row r="8" spans="1:13" x14ac:dyDescent="0.25">
      <c r="A8" s="91" t="s">
        <v>255</v>
      </c>
      <c r="B8" s="91">
        <f t="shared" si="1"/>
        <v>7</v>
      </c>
      <c r="C8" s="105">
        <v>1.6E-2</v>
      </c>
      <c r="D8" s="91"/>
      <c r="E8" s="91"/>
      <c r="F8" s="91"/>
      <c r="G8" s="91"/>
      <c r="H8" s="91"/>
    </row>
    <row r="9" spans="1:13" x14ac:dyDescent="0.25">
      <c r="A9" s="91" t="s">
        <v>205</v>
      </c>
      <c r="B9" s="91">
        <f t="shared" si="1"/>
        <v>8</v>
      </c>
      <c r="C9" s="105">
        <v>1.6E-2</v>
      </c>
      <c r="D9" s="91"/>
      <c r="E9" s="91"/>
      <c r="F9" s="91"/>
      <c r="G9" s="91"/>
      <c r="H9" s="91"/>
    </row>
    <row r="10" spans="1:13" x14ac:dyDescent="0.25">
      <c r="A10" s="91" t="s">
        <v>206</v>
      </c>
      <c r="B10" s="91">
        <f t="shared" si="1"/>
        <v>9</v>
      </c>
      <c r="C10" s="105">
        <v>0.02</v>
      </c>
      <c r="D10" s="91"/>
      <c r="E10" s="91"/>
      <c r="F10" s="91"/>
      <c r="G10" s="91"/>
      <c r="H10" s="91"/>
    </row>
    <row r="11" spans="1:13" x14ac:dyDescent="0.25">
      <c r="A11" s="91" t="s">
        <v>256</v>
      </c>
      <c r="B11" s="91">
        <f t="shared" si="1"/>
        <v>10</v>
      </c>
      <c r="C11" s="105">
        <v>0.08</v>
      </c>
      <c r="D11" s="91"/>
      <c r="E11" s="91"/>
      <c r="F11" s="91"/>
      <c r="G11" s="105"/>
      <c r="H11" s="91"/>
    </row>
    <row r="12" spans="1:13" x14ac:dyDescent="0.25">
      <c r="A12" s="91" t="s">
        <v>208</v>
      </c>
      <c r="B12" s="91">
        <f t="shared" si="1"/>
        <v>11</v>
      </c>
      <c r="C12" s="105">
        <v>0.12</v>
      </c>
      <c r="D12" s="91"/>
      <c r="E12" s="91"/>
      <c r="F12" s="91"/>
      <c r="G12" s="91"/>
      <c r="H12" s="91"/>
    </row>
    <row r="13" spans="1:13" x14ac:dyDescent="0.25">
      <c r="A13" s="91" t="s">
        <v>209</v>
      </c>
      <c r="B13" s="91">
        <f t="shared" si="1"/>
        <v>12</v>
      </c>
      <c r="C13" s="105">
        <v>0.161</v>
      </c>
      <c r="D13" s="91"/>
      <c r="E13" s="91"/>
      <c r="F13" s="91"/>
      <c r="G13" s="91"/>
      <c r="H13" s="91"/>
    </row>
    <row r="14" spans="1:13" x14ac:dyDescent="0.25">
      <c r="A14" s="91"/>
      <c r="B14" s="91"/>
      <c r="C14" s="91"/>
      <c r="D14" s="91"/>
      <c r="E14" s="91"/>
      <c r="F14" s="91"/>
      <c r="G14" s="91"/>
      <c r="H14" s="91"/>
    </row>
    <row r="15" spans="1:13" x14ac:dyDescent="0.25">
      <c r="A15" s="91"/>
      <c r="B15" s="91"/>
      <c r="C15" s="91"/>
      <c r="D15" s="91"/>
      <c r="E15" s="91"/>
      <c r="F15" s="91"/>
      <c r="G15" s="91"/>
      <c r="H15" s="91"/>
    </row>
    <row r="16" spans="1:13" x14ac:dyDescent="0.25">
      <c r="A16" s="91"/>
      <c r="B16" s="91"/>
      <c r="C16" s="91"/>
      <c r="D16" s="91"/>
      <c r="E16" s="91"/>
      <c r="F16" s="91"/>
      <c r="G16" s="91"/>
      <c r="H16" s="91"/>
    </row>
    <row r="17" spans="1:8" x14ac:dyDescent="0.25">
      <c r="A17" s="91"/>
      <c r="B17" s="91"/>
      <c r="C17" s="91" t="s">
        <v>216</v>
      </c>
      <c r="D17" s="91" t="s">
        <v>217</v>
      </c>
      <c r="E17" s="91" t="s">
        <v>218</v>
      </c>
      <c r="F17" s="91"/>
      <c r="G17" s="91"/>
      <c r="H17" s="91"/>
    </row>
    <row r="18" spans="1:8" x14ac:dyDescent="0.25">
      <c r="A18" s="91" t="s">
        <v>22</v>
      </c>
      <c r="B18" s="91" t="str">
        <f>A2</f>
        <v>Január</v>
      </c>
      <c r="C18" s="91">
        <f>(Hárok2!C2*(100/SUM(Hárok2!$C$2:$C$13))/100)*'Formulár vyplnene 1'!$B$84</f>
        <v>486333.41777854535</v>
      </c>
      <c r="D18" s="91">
        <f>(Hárok2!C2*(100/SUM(Hárok2!$C$2:$C$6))/100)*'Formulár vyplnené 2'!$B$84</f>
        <v>486333.41777854529</v>
      </c>
      <c r="E18" s="91" t="e">
        <f>(Hárok2!C2*(100/SUM(Hárok2!$C$2:$C$6))/100)*Formulár!$B$88</f>
        <v>#VALUE!</v>
      </c>
      <c r="F18" s="91"/>
      <c r="G18" s="91"/>
      <c r="H18" s="91"/>
    </row>
    <row r="19" spans="1:8" x14ac:dyDescent="0.25">
      <c r="A19" s="91" t="s">
        <v>23</v>
      </c>
      <c r="B19" s="91" t="str">
        <f t="shared" ref="B19:B29" si="2">A3</f>
        <v>Február</v>
      </c>
      <c r="C19" s="91">
        <f>(Hárok2!C3*(100/SUM(Hárok2!$C$2:$C$13))/100)*'Formulár vyplnene 1'!$B$84</f>
        <v>400672.41805618792</v>
      </c>
      <c r="D19" s="91">
        <f>(Hárok2!C3*(100/SUM(Hárok2!$C$2:$C$6))/100)*'Formulár vyplnené 2'!$B$84</f>
        <v>400672.41805618786</v>
      </c>
      <c r="E19" s="91" t="e">
        <f>(Hárok2!C3*(100/SUM(Hárok2!$C$2:$C$6))/100)*Formulár!$B$88</f>
        <v>#VALUE!</v>
      </c>
      <c r="F19" s="91"/>
      <c r="G19" s="91"/>
      <c r="H19" s="91"/>
    </row>
    <row r="20" spans="1:8" x14ac:dyDescent="0.25">
      <c r="A20" s="91" t="s">
        <v>24</v>
      </c>
      <c r="B20" s="91" t="str">
        <f t="shared" si="2"/>
        <v>Marec</v>
      </c>
      <c r="C20" s="91">
        <f>(Hárok2!C4*(100/SUM(Hárok2!$C$2:$C$13))/100)*'Formulár vyplnene 1'!$B$84</f>
        <v>386856.12777838839</v>
      </c>
      <c r="D20" s="91">
        <f>(Hárok2!C4*(100/SUM(Hárok2!$C$2:$C$6))/100)*'Formulár vyplnené 2'!$B$84</f>
        <v>386856.12777838839</v>
      </c>
      <c r="E20" s="91" t="e">
        <f>(Hárok2!C4*(100/SUM(Hárok2!$C$2:$C$6))/100)*Formulár!$B$88</f>
        <v>#VALUE!</v>
      </c>
      <c r="F20" s="91"/>
      <c r="G20" s="91"/>
      <c r="H20" s="91"/>
    </row>
    <row r="21" spans="1:8" x14ac:dyDescent="0.25">
      <c r="A21" s="91" t="s">
        <v>25</v>
      </c>
      <c r="B21" s="91" t="str">
        <f t="shared" si="2"/>
        <v>Apríl</v>
      </c>
      <c r="C21" s="91">
        <f>(Hárok2!C5*(100/SUM(Hárok2!$C$2:$C$13))/100)*'Formulár vyplnene 1'!$B$84</f>
        <v>248693.2250003925</v>
      </c>
      <c r="D21" s="91">
        <f>(Hárok2!C5*(100/SUM(Hárok2!$C$2:$C$6))/100)*'Formulár vyplnené 2'!$B$84</f>
        <v>248693.2250003925</v>
      </c>
      <c r="E21" s="91" t="e">
        <f>(Hárok2!C5*(100/SUM(Hárok2!$C$2:$C$6))/100)*Formulár!$B$88</f>
        <v>#VALUE!</v>
      </c>
      <c r="F21" s="91"/>
      <c r="G21" s="91"/>
      <c r="H21" s="91"/>
    </row>
    <row r="22" spans="1:8" x14ac:dyDescent="0.25">
      <c r="A22" s="91" t="s">
        <v>26</v>
      </c>
      <c r="B22" s="91" t="str">
        <f t="shared" si="2"/>
        <v>Máj</v>
      </c>
      <c r="C22" s="91">
        <f>(Hárok2!C6*(100/SUM(Hárok2!$C$2:$C$13))/100)*'Formulár vyplnene 1'!$B$84</f>
        <v>55265.161111198337</v>
      </c>
      <c r="D22" s="91">
        <f>(Hárok2!C6*(100/SUM(Hárok2!$C$2:$C$6))/100)*'Formulár vyplnené 2'!$B$84</f>
        <v>55265.161111198329</v>
      </c>
      <c r="E22" s="91" t="e">
        <f>(Hárok2!C6*(100/SUM(Hárok2!$C$2:$C$6))/100)*Formulár!$B$88</f>
        <v>#VALUE!</v>
      </c>
      <c r="F22" s="91"/>
      <c r="G22" s="91"/>
      <c r="H22" s="91"/>
    </row>
    <row r="23" spans="1:8" x14ac:dyDescent="0.25">
      <c r="A23" s="91" t="s">
        <v>27</v>
      </c>
      <c r="B23" s="91" t="str">
        <f t="shared" si="2"/>
        <v>Jún</v>
      </c>
      <c r="C23" s="91">
        <f>(Hárok2!C7*(100/SUM(Hárok2!$C$2:$C$13))/100)*'Formulár vyplnene 1'!$B$84</f>
        <v>44212.128888958672</v>
      </c>
      <c r="D23" s="91">
        <f>(Hárok2!C7*(100/SUM(Hárok2!$C$7:$C$13))/100)*'Formulár vyplnené 2'!$B$111</f>
        <v>65126.557878248845</v>
      </c>
      <c r="E23" s="91">
        <f>(Hárok2!C7*(100/SUM(Hárok2!$C$7:$C$10))/100)*Formulár!$B$115</f>
        <v>0</v>
      </c>
      <c r="F23" s="91"/>
      <c r="G23" s="91"/>
      <c r="H23" s="91"/>
    </row>
    <row r="24" spans="1:8" x14ac:dyDescent="0.25">
      <c r="A24" s="91" t="s">
        <v>28</v>
      </c>
      <c r="B24" s="91" t="str">
        <f t="shared" si="2"/>
        <v>Júl</v>
      </c>
      <c r="C24" s="91">
        <f>(Hárok2!C8*(100/SUM(Hárok2!$C$2:$C$13))/100)*'Formulár vyplnene 1'!$B$84</f>
        <v>44212.128888958672</v>
      </c>
      <c r="D24" s="91">
        <f>(Hárok2!C8*(100/SUM(Hárok2!$C$7:$C$13))/100)*'Formulár vyplnené 2'!$B$111</f>
        <v>65126.557878248845</v>
      </c>
      <c r="E24" s="91">
        <f>(Hárok2!C8*(100/SUM(Hárok2!$C$7:$C$10))/100)*Formulár!$B$115</f>
        <v>0</v>
      </c>
      <c r="F24" s="91"/>
      <c r="G24" s="91"/>
      <c r="H24" s="91"/>
    </row>
    <row r="25" spans="1:8" x14ac:dyDescent="0.25">
      <c r="A25" s="91" t="s">
        <v>29</v>
      </c>
      <c r="B25" s="91" t="str">
        <f t="shared" si="2"/>
        <v>August</v>
      </c>
      <c r="C25" s="91">
        <f>(Hárok2!C9*(100/SUM(Hárok2!$C$2:$C$13))/100)*'Formulár vyplnene 1'!$B$84</f>
        <v>44212.128888958672</v>
      </c>
      <c r="D25" s="91">
        <f>(Hárok2!C9*(100/SUM(Hárok2!$C$7:$C$13))/100)*'Formulár vyplnené 2'!$B$111</f>
        <v>65126.557878248845</v>
      </c>
      <c r="E25" s="91">
        <f>(Hárok2!C9*(100/SUM(Hárok2!$C$7:$C$10))/100)*Formulár!$B$115</f>
        <v>0</v>
      </c>
      <c r="F25" s="91"/>
      <c r="G25" s="91"/>
      <c r="H25" s="91"/>
    </row>
    <row r="26" spans="1:8" x14ac:dyDescent="0.25">
      <c r="A26" s="91" t="s">
        <v>30</v>
      </c>
      <c r="B26" s="91" t="str">
        <f t="shared" si="2"/>
        <v>September</v>
      </c>
      <c r="C26" s="91">
        <f>(Hárok2!C10*(100/SUM(Hárok2!$C$2:$C$13))/100)*'Formulár vyplnene 1'!$B$84</f>
        <v>55265.161111198337</v>
      </c>
      <c r="D26" s="91">
        <f>(Hárok2!C10*(100/SUM(Hárok2!$C$7:$C$13))/100)*'Formulár vyplnené 2'!$B$111</f>
        <v>81408.197347811045</v>
      </c>
      <c r="E26" s="91">
        <f>(Hárok2!C10*(100/SUM(Hárok2!$C$7:$C$10))/100)*Formulár!$B$115</f>
        <v>0</v>
      </c>
      <c r="F26" s="91"/>
      <c r="G26" s="91"/>
      <c r="H26" s="91"/>
    </row>
    <row r="27" spans="1:8" x14ac:dyDescent="0.25">
      <c r="A27" s="91" t="s">
        <v>31</v>
      </c>
      <c r="B27" s="91" t="str">
        <f t="shared" si="2"/>
        <v>Október</v>
      </c>
      <c r="C27" s="91">
        <f>(Hárok2!C11*(100/SUM(Hárok2!$C$2:$C$13))/100)*'Formulár vyplnene 1'!$B$84</f>
        <v>221060.64444479335</v>
      </c>
      <c r="D27" s="91">
        <f>(Hárok2!C11*(100/SUM(Hárok2!$C$7:$C$13))/100)*'Formulár vyplnené 2'!$B$111</f>
        <v>325632.78939124418</v>
      </c>
      <c r="E27" s="91">
        <f>(Hárok2!C11*(100/SUM(Hárok2!$C$11:$C$13))/100)*Formulár!$B$142</f>
        <v>0</v>
      </c>
      <c r="F27" s="91"/>
      <c r="G27" s="91"/>
      <c r="H27" s="91"/>
    </row>
    <row r="28" spans="1:8" x14ac:dyDescent="0.25">
      <c r="A28" s="91" t="s">
        <v>32</v>
      </c>
      <c r="B28" s="91" t="str">
        <f t="shared" si="2"/>
        <v>November</v>
      </c>
      <c r="C28" s="91">
        <f>(Hárok2!C12*(100/SUM(Hárok2!$C$2:$C$13))/100)*'Formulár vyplnene 1'!$B$84</f>
        <v>331590.96666719002</v>
      </c>
      <c r="D28" s="91">
        <f>(Hárok2!C12*(100/SUM(Hárok2!$C$7:$C$13))/100)*'Formulár vyplnené 2'!$B$111</f>
        <v>488449.18408686627</v>
      </c>
      <c r="E28" s="91">
        <f>(Hárok2!C12*(100/SUM(Hárok2!$C$11:$C$13))/100)*Formulár!$B$142</f>
        <v>0</v>
      </c>
      <c r="F28" s="91"/>
      <c r="G28" s="91"/>
      <c r="H28" s="91"/>
    </row>
    <row r="29" spans="1:8" s="79" customFormat="1" x14ac:dyDescent="0.25">
      <c r="A29" s="107" t="s">
        <v>33</v>
      </c>
      <c r="B29" s="107" t="str">
        <f t="shared" si="2"/>
        <v>December</v>
      </c>
      <c r="C29" s="107">
        <f>(Hárok2!C13*(100/SUM(Hárok2!$C$2:$C$13))/100)*'Formulár vyplnene 1'!$B$84</f>
        <v>444884.54694514663</v>
      </c>
      <c r="D29" s="107">
        <f>(Hárok2!C13*(100/SUM(Hárok2!$C$7:$C$13))/100)*'Formulár vyplnené 2'!$B$111</f>
        <v>655335.988649879</v>
      </c>
      <c r="E29" s="107">
        <f>(Hárok2!C13*(100/SUM(Hárok2!$C$11:$C$13))/100)*Formulár!$B$142</f>
        <v>0</v>
      </c>
      <c r="F29" s="107"/>
      <c r="G29" s="107"/>
      <c r="H29" s="107"/>
    </row>
    <row r="30" spans="1:8" x14ac:dyDescent="0.25">
      <c r="A30" s="91" t="s">
        <v>219</v>
      </c>
      <c r="B30" s="91"/>
      <c r="C30" s="91">
        <f>SUM(C18:C29)</f>
        <v>2763258.0555599169</v>
      </c>
      <c r="D30" s="91">
        <f>SUM(D18:D29)</f>
        <v>3324026.1828352595</v>
      </c>
      <c r="E30" s="91" t="e">
        <f>SUM(E18:E29)</f>
        <v>#VALUE!</v>
      </c>
      <c r="F30" s="91"/>
      <c r="G30" s="91"/>
      <c r="H30" s="91"/>
    </row>
  </sheetData>
  <sheetProtection algorithmName="SHA-512" hashValue="idI07/QDHYInnzZWtBTfn2sHmhycrnB+ktYOW/yGWJ9VutAP2IPY9stRcjzEBIhA0mThPtQpU5VbCKnajUfoWw==" saltValue="fS1qZCY/g4fGNhwQnSxitQ==" spinCount="100000" sheet="1" objects="1" scenarios="1" selectLockedCells="1" selectUnlockedCells="1"/>
  <phoneticPr fontId="3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E7" sqref="E7"/>
    </sheetView>
  </sheetViews>
  <sheetFormatPr defaultRowHeight="15" x14ac:dyDescent="0.25"/>
  <sheetData>
    <row r="1" spans="1:12" x14ac:dyDescent="0.25">
      <c r="A1" t="s">
        <v>188</v>
      </c>
      <c r="B1" t="s">
        <v>189</v>
      </c>
      <c r="C1" t="s">
        <v>190</v>
      </c>
      <c r="D1" t="s">
        <v>25</v>
      </c>
      <c r="E1" t="s">
        <v>26</v>
      </c>
      <c r="F1" t="s">
        <v>191</v>
      </c>
      <c r="G1" t="s">
        <v>192</v>
      </c>
      <c r="H1" t="s">
        <v>193</v>
      </c>
      <c r="I1" t="s">
        <v>194</v>
      </c>
      <c r="J1" t="s">
        <v>195</v>
      </c>
      <c r="K1" t="s">
        <v>32</v>
      </c>
      <c r="L1" t="s">
        <v>196</v>
      </c>
    </row>
    <row r="2" spans="1:12" x14ac:dyDescent="0.25">
      <c r="A2" s="63">
        <v>0.17599999999999999</v>
      </c>
      <c r="B2" s="63">
        <v>0.14499999999999999</v>
      </c>
      <c r="C2" s="63">
        <v>0.14000000000000001</v>
      </c>
      <c r="D2" s="63">
        <v>0.09</v>
      </c>
      <c r="E2" s="63">
        <v>0.02</v>
      </c>
      <c r="F2" s="63">
        <v>1.6E-2</v>
      </c>
      <c r="G2" s="63">
        <v>1.6E-2</v>
      </c>
      <c r="H2" s="63">
        <v>1.6E-2</v>
      </c>
      <c r="I2" s="63">
        <v>0.02</v>
      </c>
      <c r="J2" s="63">
        <v>0.08</v>
      </c>
      <c r="K2" s="63">
        <v>0.12</v>
      </c>
      <c r="L2" s="63">
        <v>0.161</v>
      </c>
    </row>
  </sheetData>
  <sheetProtection algorithmName="SHA-512" hashValue="zMTMYdSnjj5eJN128uZNfmlP3YCo98Tobmn02ri0QtMK3YfZ6k3X/zkql5zHHpc1puGtSj1nIyhQE84c2YRlhQ==" saltValue="Nrpu9rNAr7O4MSdaY0VlqA=="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9"/>
  <sheetViews>
    <sheetView topLeftCell="A62" workbookViewId="0">
      <selection activeCell="A79" sqref="A1:A79"/>
    </sheetView>
  </sheetViews>
  <sheetFormatPr defaultColWidth="8.85546875" defaultRowHeight="15" x14ac:dyDescent="0.25"/>
  <cols>
    <col min="1" max="1" width="30.85546875" customWidth="1"/>
  </cols>
  <sheetData>
    <row r="1" spans="1:1" x14ac:dyDescent="0.25">
      <c r="A1" s="42" t="s">
        <v>53</v>
      </c>
    </row>
    <row r="2" spans="1:1" x14ac:dyDescent="0.25">
      <c r="A2" s="42" t="s">
        <v>54</v>
      </c>
    </row>
    <row r="3" spans="1:1" x14ac:dyDescent="0.25">
      <c r="A3" s="42" t="s">
        <v>55</v>
      </c>
    </row>
    <row r="4" spans="1:1" x14ac:dyDescent="0.25">
      <c r="A4" s="42" t="s">
        <v>56</v>
      </c>
    </row>
    <row r="5" spans="1:1" x14ac:dyDescent="0.25">
      <c r="A5" s="42" t="s">
        <v>57</v>
      </c>
    </row>
    <row r="6" spans="1:1" x14ac:dyDescent="0.25">
      <c r="A6" s="42" t="s">
        <v>58</v>
      </c>
    </row>
    <row r="7" spans="1:1" x14ac:dyDescent="0.25">
      <c r="A7" s="42" t="s">
        <v>59</v>
      </c>
    </row>
    <row r="8" spans="1:1" x14ac:dyDescent="0.25">
      <c r="A8" s="42" t="s">
        <v>60</v>
      </c>
    </row>
    <row r="9" spans="1:1" x14ac:dyDescent="0.25">
      <c r="A9" s="42" t="s">
        <v>61</v>
      </c>
    </row>
    <row r="10" spans="1:1" x14ac:dyDescent="0.25">
      <c r="A10" s="42" t="s">
        <v>62</v>
      </c>
    </row>
    <row r="11" spans="1:1" x14ac:dyDescent="0.25">
      <c r="A11" s="42" t="s">
        <v>63</v>
      </c>
    </row>
    <row r="12" spans="1:1" x14ac:dyDescent="0.25">
      <c r="A12" s="42" t="s">
        <v>64</v>
      </c>
    </row>
    <row r="13" spans="1:1" x14ac:dyDescent="0.25">
      <c r="A13" s="42" t="s">
        <v>65</v>
      </c>
    </row>
    <row r="14" spans="1:1" x14ac:dyDescent="0.25">
      <c r="A14" s="42" t="s">
        <v>66</v>
      </c>
    </row>
    <row r="15" spans="1:1" x14ac:dyDescent="0.25">
      <c r="A15" s="42" t="s">
        <v>67</v>
      </c>
    </row>
    <row r="16" spans="1:1" x14ac:dyDescent="0.25">
      <c r="A16" s="42" t="s">
        <v>68</v>
      </c>
    </row>
    <row r="17" spans="1:1" x14ac:dyDescent="0.25">
      <c r="A17" s="42" t="s">
        <v>69</v>
      </c>
    </row>
    <row r="18" spans="1:1" x14ac:dyDescent="0.25">
      <c r="A18" s="42" t="s">
        <v>70</v>
      </c>
    </row>
    <row r="19" spans="1:1" x14ac:dyDescent="0.25">
      <c r="A19" s="42" t="s">
        <v>71</v>
      </c>
    </row>
    <row r="20" spans="1:1" x14ac:dyDescent="0.25">
      <c r="A20" s="42" t="s">
        <v>72</v>
      </c>
    </row>
    <row r="21" spans="1:1" x14ac:dyDescent="0.25">
      <c r="A21" s="42" t="s">
        <v>73</v>
      </c>
    </row>
    <row r="22" spans="1:1" x14ac:dyDescent="0.25">
      <c r="A22" s="42" t="s">
        <v>74</v>
      </c>
    </row>
    <row r="23" spans="1:1" x14ac:dyDescent="0.25">
      <c r="A23" s="42" t="s">
        <v>75</v>
      </c>
    </row>
    <row r="24" spans="1:1" x14ac:dyDescent="0.25">
      <c r="A24" s="42" t="s">
        <v>76</v>
      </c>
    </row>
    <row r="25" spans="1:1" x14ac:dyDescent="0.25">
      <c r="A25" s="42" t="s">
        <v>77</v>
      </c>
    </row>
    <row r="26" spans="1:1" x14ac:dyDescent="0.25">
      <c r="A26" s="42" t="s">
        <v>78</v>
      </c>
    </row>
    <row r="27" spans="1:1" x14ac:dyDescent="0.25">
      <c r="A27" s="42" t="s">
        <v>79</v>
      </c>
    </row>
    <row r="28" spans="1:1" x14ac:dyDescent="0.25">
      <c r="A28" s="42" t="s">
        <v>80</v>
      </c>
    </row>
    <row r="29" spans="1:1" x14ac:dyDescent="0.25">
      <c r="A29" s="42" t="s">
        <v>81</v>
      </c>
    </row>
    <row r="30" spans="1:1" x14ac:dyDescent="0.25">
      <c r="A30" s="42" t="s">
        <v>82</v>
      </c>
    </row>
    <row r="31" spans="1:1" x14ac:dyDescent="0.25">
      <c r="A31" s="42" t="s">
        <v>83</v>
      </c>
    </row>
    <row r="32" spans="1:1" x14ac:dyDescent="0.25">
      <c r="A32" s="42" t="s">
        <v>84</v>
      </c>
    </row>
    <row r="33" spans="1:1" x14ac:dyDescent="0.25">
      <c r="A33" s="42" t="s">
        <v>85</v>
      </c>
    </row>
    <row r="34" spans="1:1" x14ac:dyDescent="0.25">
      <c r="A34" s="42" t="s">
        <v>86</v>
      </c>
    </row>
    <row r="35" spans="1:1" x14ac:dyDescent="0.25">
      <c r="A35" s="42" t="s">
        <v>87</v>
      </c>
    </row>
    <row r="36" spans="1:1" x14ac:dyDescent="0.25">
      <c r="A36" s="42" t="s">
        <v>88</v>
      </c>
    </row>
    <row r="37" spans="1:1" x14ac:dyDescent="0.25">
      <c r="A37" s="42" t="s">
        <v>89</v>
      </c>
    </row>
    <row r="38" spans="1:1" x14ac:dyDescent="0.25">
      <c r="A38" s="42" t="s">
        <v>90</v>
      </c>
    </row>
    <row r="39" spans="1:1" x14ac:dyDescent="0.25">
      <c r="A39" s="42" t="s">
        <v>91</v>
      </c>
    </row>
    <row r="40" spans="1:1" x14ac:dyDescent="0.25">
      <c r="A40" s="42" t="s">
        <v>92</v>
      </c>
    </row>
    <row r="41" spans="1:1" x14ac:dyDescent="0.25">
      <c r="A41" s="42" t="s">
        <v>93</v>
      </c>
    </row>
    <row r="42" spans="1:1" x14ac:dyDescent="0.25">
      <c r="A42" s="42" t="s">
        <v>94</v>
      </c>
    </row>
    <row r="43" spans="1:1" x14ac:dyDescent="0.25">
      <c r="A43" s="42" t="s">
        <v>95</v>
      </c>
    </row>
    <row r="44" spans="1:1" x14ac:dyDescent="0.25">
      <c r="A44" s="42" t="s">
        <v>96</v>
      </c>
    </row>
    <row r="45" spans="1:1" x14ac:dyDescent="0.25">
      <c r="A45" s="42" t="s">
        <v>97</v>
      </c>
    </row>
    <row r="46" spans="1:1" x14ac:dyDescent="0.25">
      <c r="A46" s="42" t="s">
        <v>98</v>
      </c>
    </row>
    <row r="47" spans="1:1" x14ac:dyDescent="0.25">
      <c r="A47" s="42" t="s">
        <v>99</v>
      </c>
    </row>
    <row r="48" spans="1:1" x14ac:dyDescent="0.25">
      <c r="A48" s="42" t="s">
        <v>100</v>
      </c>
    </row>
    <row r="49" spans="1:1" x14ac:dyDescent="0.25">
      <c r="A49" s="42" t="s">
        <v>101</v>
      </c>
    </row>
    <row r="50" spans="1:1" x14ac:dyDescent="0.25">
      <c r="A50" s="42" t="s">
        <v>102</v>
      </c>
    </row>
    <row r="51" spans="1:1" x14ac:dyDescent="0.25">
      <c r="A51" s="42" t="s">
        <v>103</v>
      </c>
    </row>
    <row r="52" spans="1:1" x14ac:dyDescent="0.25">
      <c r="A52" s="42" t="s">
        <v>104</v>
      </c>
    </row>
    <row r="53" spans="1:1" x14ac:dyDescent="0.25">
      <c r="A53" s="42" t="s">
        <v>105</v>
      </c>
    </row>
    <row r="54" spans="1:1" x14ac:dyDescent="0.25">
      <c r="A54" s="42" t="s">
        <v>106</v>
      </c>
    </row>
    <row r="55" spans="1:1" x14ac:dyDescent="0.25">
      <c r="A55" s="42" t="s">
        <v>107</v>
      </c>
    </row>
    <row r="56" spans="1:1" x14ac:dyDescent="0.25">
      <c r="A56" s="42" t="s">
        <v>108</v>
      </c>
    </row>
    <row r="57" spans="1:1" x14ac:dyDescent="0.25">
      <c r="A57" s="42" t="s">
        <v>109</v>
      </c>
    </row>
    <row r="58" spans="1:1" x14ac:dyDescent="0.25">
      <c r="A58" s="42" t="s">
        <v>110</v>
      </c>
    </row>
    <row r="59" spans="1:1" x14ac:dyDescent="0.25">
      <c r="A59" s="42" t="s">
        <v>111</v>
      </c>
    </row>
    <row r="60" spans="1:1" x14ac:dyDescent="0.25">
      <c r="A60" s="42" t="s">
        <v>112</v>
      </c>
    </row>
    <row r="61" spans="1:1" x14ac:dyDescent="0.25">
      <c r="A61" s="42" t="s">
        <v>113</v>
      </c>
    </row>
    <row r="62" spans="1:1" x14ac:dyDescent="0.25">
      <c r="A62" s="42" t="s">
        <v>114</v>
      </c>
    </row>
    <row r="63" spans="1:1" x14ac:dyDescent="0.25">
      <c r="A63" s="42" t="s">
        <v>115</v>
      </c>
    </row>
    <row r="64" spans="1:1" x14ac:dyDescent="0.25">
      <c r="A64" s="42" t="s">
        <v>116</v>
      </c>
    </row>
    <row r="65" spans="1:1" x14ac:dyDescent="0.25">
      <c r="A65" s="42" t="s">
        <v>117</v>
      </c>
    </row>
    <row r="66" spans="1:1" x14ac:dyDescent="0.25">
      <c r="A66" s="42" t="s">
        <v>118</v>
      </c>
    </row>
    <row r="67" spans="1:1" x14ac:dyDescent="0.25">
      <c r="A67" s="42" t="s">
        <v>119</v>
      </c>
    </row>
    <row r="68" spans="1:1" x14ac:dyDescent="0.25">
      <c r="A68" s="42" t="s">
        <v>120</v>
      </c>
    </row>
    <row r="69" spans="1:1" x14ac:dyDescent="0.25">
      <c r="A69" s="42" t="s">
        <v>121</v>
      </c>
    </row>
    <row r="70" spans="1:1" x14ac:dyDescent="0.25">
      <c r="A70" s="42" t="s">
        <v>122</v>
      </c>
    </row>
    <row r="71" spans="1:1" x14ac:dyDescent="0.25">
      <c r="A71" s="42" t="s">
        <v>123</v>
      </c>
    </row>
    <row r="72" spans="1:1" x14ac:dyDescent="0.25">
      <c r="A72" s="42" t="s">
        <v>124</v>
      </c>
    </row>
    <row r="73" spans="1:1" x14ac:dyDescent="0.25">
      <c r="A73" s="42" t="s">
        <v>125</v>
      </c>
    </row>
    <row r="74" spans="1:1" x14ac:dyDescent="0.25">
      <c r="A74" s="42" t="s">
        <v>126</v>
      </c>
    </row>
    <row r="75" spans="1:1" x14ac:dyDescent="0.25">
      <c r="A75" s="42" t="s">
        <v>127</v>
      </c>
    </row>
    <row r="76" spans="1:1" x14ac:dyDescent="0.25">
      <c r="A76" s="42" t="s">
        <v>128</v>
      </c>
    </row>
    <row r="77" spans="1:1" x14ac:dyDescent="0.25">
      <c r="A77" s="42" t="s">
        <v>129</v>
      </c>
    </row>
    <row r="78" spans="1:1" x14ac:dyDescent="0.25">
      <c r="A78" s="42" t="s">
        <v>130</v>
      </c>
    </row>
    <row r="79" spans="1:1" x14ac:dyDescent="0.25">
      <c r="A79" s="42"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
  <sheetViews>
    <sheetView topLeftCell="K1" workbookViewId="0">
      <selection activeCell="Y18" sqref="Y18"/>
    </sheetView>
  </sheetViews>
  <sheetFormatPr defaultColWidth="8.85546875" defaultRowHeight="15" x14ac:dyDescent="0.25"/>
  <cols>
    <col min="9" max="9" width="11" bestFit="1" customWidth="1"/>
    <col min="11" max="11" width="11.85546875" bestFit="1" customWidth="1"/>
    <col min="12" max="12" width="12.28515625" bestFit="1" customWidth="1"/>
    <col min="13" max="14" width="9.5703125" customWidth="1"/>
    <col min="15" max="15" width="24.85546875" customWidth="1"/>
    <col min="16" max="16" width="11.85546875" bestFit="1" customWidth="1"/>
    <col min="28" max="28" width="12.85546875" bestFit="1" customWidth="1"/>
    <col min="29" max="30" width="12.85546875" customWidth="1"/>
    <col min="31" max="31" width="12.85546875" bestFit="1" customWidth="1"/>
    <col min="32" max="32" width="10.42578125" customWidth="1"/>
  </cols>
  <sheetData>
    <row r="1" spans="1:32" ht="48" x14ac:dyDescent="0.25">
      <c r="A1" s="34" t="s">
        <v>49</v>
      </c>
      <c r="B1" s="34" t="s">
        <v>12</v>
      </c>
      <c r="C1" s="34" t="s">
        <v>3</v>
      </c>
      <c r="D1" s="34" t="s">
        <v>5</v>
      </c>
      <c r="E1" s="34" t="s">
        <v>299</v>
      </c>
      <c r="F1" s="34" t="s">
        <v>6</v>
      </c>
      <c r="G1" s="34" t="s">
        <v>7</v>
      </c>
      <c r="H1" s="34" t="s">
        <v>0</v>
      </c>
      <c r="I1" s="35" t="s">
        <v>16</v>
      </c>
      <c r="J1" s="35" t="s">
        <v>34</v>
      </c>
      <c r="K1" s="34" t="s">
        <v>11</v>
      </c>
      <c r="L1" s="34" t="s">
        <v>35</v>
      </c>
      <c r="M1" s="34" t="s">
        <v>36</v>
      </c>
      <c r="N1" s="34" t="s">
        <v>171</v>
      </c>
      <c r="O1" s="36" t="s">
        <v>248</v>
      </c>
      <c r="P1" s="36" t="s">
        <v>22</v>
      </c>
      <c r="Q1" s="36" t="s">
        <v>23</v>
      </c>
      <c r="R1" s="36" t="s">
        <v>24</v>
      </c>
      <c r="S1" s="36" t="s">
        <v>25</v>
      </c>
      <c r="T1" s="36" t="s">
        <v>26</v>
      </c>
      <c r="U1" s="36" t="s">
        <v>27</v>
      </c>
      <c r="V1" s="36" t="s">
        <v>28</v>
      </c>
      <c r="W1" s="36" t="s">
        <v>29</v>
      </c>
      <c r="X1" s="36" t="s">
        <v>30</v>
      </c>
      <c r="Y1" s="36" t="s">
        <v>31</v>
      </c>
      <c r="Z1" s="36" t="s">
        <v>32</v>
      </c>
      <c r="AA1" s="36" t="s">
        <v>33</v>
      </c>
      <c r="AB1" s="34" t="s">
        <v>48</v>
      </c>
      <c r="AC1" s="34" t="s">
        <v>308</v>
      </c>
      <c r="AD1" s="34" t="s">
        <v>309</v>
      </c>
      <c r="AE1" s="34" t="s">
        <v>277</v>
      </c>
      <c r="AF1" s="34" t="s">
        <v>267</v>
      </c>
    </row>
    <row r="2" spans="1:32" x14ac:dyDescent="0.25">
      <c r="B2">
        <f>Formulár!B13</f>
        <v>0</v>
      </c>
      <c r="C2">
        <f>Formulár!B20</f>
        <v>0</v>
      </c>
      <c r="D2">
        <f>Formulár!F20</f>
        <v>0</v>
      </c>
      <c r="E2">
        <f>Formulár!D20</f>
        <v>0</v>
      </c>
      <c r="F2">
        <f>Formulár!B23</f>
        <v>0</v>
      </c>
      <c r="G2">
        <f>Formulár!D23</f>
        <v>0</v>
      </c>
      <c r="H2">
        <f>Formulár!B6</f>
        <v>0</v>
      </c>
      <c r="I2">
        <f>Formulár!D6</f>
        <v>0</v>
      </c>
      <c r="J2">
        <f>Formulár!F6</f>
        <v>0</v>
      </c>
      <c r="K2">
        <f>Formulár!B37</f>
        <v>0</v>
      </c>
      <c r="L2" s="1" t="s">
        <v>37</v>
      </c>
      <c r="M2" s="129"/>
      <c r="N2" s="146">
        <f>Formulár!E16</f>
        <v>0</v>
      </c>
      <c r="O2" s="121">
        <f>Formulár!B154</f>
        <v>0</v>
      </c>
      <c r="P2" s="44" t="str">
        <f>Formulár!B161</f>
        <v>chybné dáta</v>
      </c>
      <c r="Q2" s="44" t="str">
        <f>Formulár!C161</f>
        <v>chybné dáta</v>
      </c>
      <c r="R2" s="44" t="str">
        <f>Formulár!D161</f>
        <v>chybné dáta</v>
      </c>
      <c r="S2" s="44" t="str">
        <f>Formulár!E161</f>
        <v>chybné dáta</v>
      </c>
      <c r="T2" s="44" t="str">
        <f>Formulár!F161</f>
        <v>chybné dáta</v>
      </c>
      <c r="U2" s="44" t="str">
        <f>Formulár!G161</f>
        <v>chybné dáta</v>
      </c>
      <c r="V2" s="44" t="str">
        <f>Formulár!B163</f>
        <v>chybné dáta</v>
      </c>
      <c r="W2" s="44" t="str">
        <f>Formulár!C163</f>
        <v>chybné dáta</v>
      </c>
      <c r="X2" s="44" t="str">
        <f>Formulár!D163</f>
        <v>chybné dáta</v>
      </c>
      <c r="Y2" s="44" t="str">
        <f>Formulár!E163</f>
        <v>chybné dáta</v>
      </c>
      <c r="Z2" s="44" t="str">
        <f>Formulár!F163</f>
        <v>chybné dáta</v>
      </c>
      <c r="AA2" s="44" t="str">
        <f>Formulár!G163</f>
        <v>chybné dáta</v>
      </c>
      <c r="AB2" s="41" t="s">
        <v>262</v>
      </c>
      <c r="AC2" s="41" t="s">
        <v>262</v>
      </c>
      <c r="AD2" s="41" t="s">
        <v>262</v>
      </c>
      <c r="AE2" s="41" t="s">
        <v>262</v>
      </c>
      <c r="AF2" s="41"/>
    </row>
    <row r="5" spans="1:32" x14ac:dyDescent="0.25">
      <c r="P5" s="44"/>
    </row>
  </sheetData>
  <dataValidations count="1">
    <dataValidation type="list" allowBlank="1" showInputMessage="1" showErrorMessage="1" prompt="ZVOLIŤ MOŽNOSŤ" sqref="AB2:AE2">
      <formula1>"Zvoliť možnosť, ÁNO, NIE"</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Príloha č 1 TEPLO ŽIADOSŤ zmena_01_10_2023.xlsx" edit="true"/>
    <f:field ref="objsubject" par="" text="" edit="true"/>
    <f:field ref="objcreatedby" par="" text="wsmhpzpness"/>
    <f:field ref="objcreatedat" par="" date="2023-10-03T12:00:30" text="3.10.2023 12:00:30"/>
    <f:field ref="objchangedby" par="" text="wsmhpzpness"/>
    <f:field ref="objmodifiedat" par="" date="2023-10-03T12:11:07" text="3.10.2023 12:11:07"/>
    <f:field ref="doc_FSCFOLIO_1_1001_FieldDocumentNumber" par="" text=""/>
    <f:field ref="doc_FSCFOLIO_1_1001_FieldSubject" par="" text="" edit="true"/>
    <f:field ref="FSCFOLIO_1_1001_FieldCurrentUser" par="" text="Ing. Miroslav Fargaš"/>
    <f:field ref="CCAPRECONFIG_15_1001_Objektname" par="" text="Príloha č 1 TEPLO ŽIADOSŤ zmena_01_10_2023.xlsx" edit="true"/>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record inx="1">
    <f:field ref="SKEDITIONREG_103_510_MenoNazov" par="" text="COM-therm, spol. s r.o."/>
    <f:field ref="SKEDITIONREG_103_510_POBox" par="" text=""/>
    <f:field ref="SKEDITIONREG_103_510_Ulica" par="" text="Miletičova 0/55"/>
    <f:field ref="SKEDITIONREG_103_510_PSC" par="" text=""/>
    <f:field ref="SKEDITIONREG_103_510_Obec" par="" text="Bratislava"/>
    <f:field ref="SKEDITIONREG_103_510_Krajina" par="" text=""/>
    <f:field ref="SKEDITIONREG_103_510_Stat" par="" text=""/>
    <f:field ref="SKEDITIONREG_103_510_AddrLine1" par="" text="Miletičova 55/0"/>
    <f:field ref="SKEDITIONREG_103_510_AddrLine2" par="" text="Bratislava"/>
    <f:field ref="SKEDITIONREG_103_510_AddrLine3" par="" text="821 09  Bratislava 2"/>
    <f:field ref="SKEDITIONREG_103_510_AddrLine4" par="" text=""/>
    <f:field ref="SKEDITIONREG_103_510_ElAddr1" par="" text="COM-therm, spol. s r.o."/>
    <f:field ref="SKEDITIONREG_103_510_ElAddr2" par="" text="ico://sk/36525782"/>
  </f:record>
  <f:display par="" text="Serialcontext &gt; Adresáti">
    <f:field ref="SKEDITIONREG_103_510_MenoNazov" text="Názov (pole)"/>
    <f:field ref="SKEDITIONREG_103_510_POBox" text="P.O. Box"/>
    <f:field ref="SKEDITIONREG_103_510_Ulica" text="Ulica"/>
    <f:field ref="SKEDITIONREG_103_510_PSC" text="PSČ"/>
    <f:field ref="SKEDITIONREG_103_510_Obec" text="Obec"/>
    <f:field ref="SKEDITIONREG_103_510_Krajina" text="Krajina/provincia"/>
    <f:field ref="SKEDITIONREG_103_510_Stat" text="Štát"/>
    <f:field ref="SKEDITIONREG_103_510_AddrLine1" text="Adresný riadok 1"/>
    <f:field ref="SKEDITIONREG_103_510_AddrLine2" text="Adresný riadok 2"/>
    <f:field ref="SKEDITIONREG_103_510_AddrLine3" text="Adresný riadok 3"/>
    <f:field ref="SKEDITIONREG_103_510_AddrLine4" text="Adresný riadok 4"/>
    <f:field ref="SKEDITIONREG_103_510_ElAddr1" text="El. adresa 1"/>
    <f:field ref="SKEDITIONREG_103_510_ElAddr2" text="El. adresa 2"/>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10</vt:i4>
      </vt:variant>
    </vt:vector>
  </HeadingPairs>
  <TitlesOfParts>
    <vt:vector size="10" baseType="lpstr">
      <vt:lpstr>Formulár povodny</vt:lpstr>
      <vt:lpstr>Formulár vyplnene 1</vt:lpstr>
      <vt:lpstr>Formulár vyplnené 2</vt:lpstr>
      <vt:lpstr>Formulár</vt:lpstr>
      <vt:lpstr>Kalkulacia</vt:lpstr>
      <vt:lpstr>Hárok2</vt:lpstr>
      <vt:lpstr>Hárok1</vt:lpstr>
      <vt:lpstr>Okresy</vt:lpstr>
      <vt:lpstr>Output Platba</vt:lpstr>
      <vt:lpstr>Output KOMPLET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2026-02-05T13:15:34Z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KMH@103.510:zaznam_vnut_adresati_MH_1">
    <vt:lpwstr/>
  </property>
  <property fmtid="{D5CDD505-2E9C-101B-9397-08002B2CF9AE}" pid="3" name="FSC#SKMH@103.510:zaznam_vnut_adresati_MH_2">
    <vt:lpwstr/>
  </property>
  <property fmtid="{D5CDD505-2E9C-101B-9397-08002B2CF9AE}" pid="4" name="FSC#SKMH@103.510:zaznam_vnut_adresati_MH_3">
    <vt:lpwstr/>
  </property>
  <property fmtid="{D5CDD505-2E9C-101B-9397-08002B2CF9AE}" pid="5" name="FSC#SKMH@103.510:zaznam_vnut_adresati_MH_4">
    <vt:lpwstr/>
  </property>
  <property fmtid="{D5CDD505-2E9C-101B-9397-08002B2CF9AE}" pid="6" name="FSC#SKMH@103.510:zaznam_vnut_adresati_MH_5">
    <vt:lpwstr/>
  </property>
  <property fmtid="{D5CDD505-2E9C-101B-9397-08002B2CF9AE}" pid="7" name="FSC#SKMH@103.510:zaznam_vnut_adresati_MH_6">
    <vt:lpwstr/>
  </property>
  <property fmtid="{D5CDD505-2E9C-101B-9397-08002B2CF9AE}" pid="8" name="FSC#SKMH@103.510:zaznam_vnut_adresati_MH_7">
    <vt:lpwstr/>
  </property>
  <property fmtid="{D5CDD505-2E9C-101B-9397-08002B2CF9AE}" pid="9" name="FSC#SKMH@103.510:zaznam_vnut_adresati_MH_8">
    <vt:lpwstr/>
  </property>
  <property fmtid="{D5CDD505-2E9C-101B-9397-08002B2CF9AE}" pid="10" name="FSC#SKMH@103.510:zaznam_vnut_adresati_MH_9">
    <vt:lpwstr/>
  </property>
  <property fmtid="{D5CDD505-2E9C-101B-9397-08002B2CF9AE}" pid="11" name="FSC#SKMH@103.510:zaznam_vnut_adresati_MH_10">
    <vt:lpwstr/>
  </property>
  <property fmtid="{D5CDD505-2E9C-101B-9397-08002B2CF9AE}" pid="12" name="FSC#SKMH@103.510:zaznam_vnut_adresati_MH_11">
    <vt:lpwstr/>
  </property>
  <property fmtid="{D5CDD505-2E9C-101B-9397-08002B2CF9AE}" pid="13" name="FSC#SKMH@103.510:zaznam_vnut_adresati_MH_12">
    <vt:lpwstr/>
  </property>
  <property fmtid="{D5CDD505-2E9C-101B-9397-08002B2CF9AE}" pid="14" name="FSC#SKMH@103.510:zaznam_vnut_adresati_MH_13">
    <vt:lpwstr/>
  </property>
  <property fmtid="{D5CDD505-2E9C-101B-9397-08002B2CF9AE}" pid="15" name="FSC#SKMH@103.510:zaznam_vnut_adresati_MH_14">
    <vt:lpwstr/>
  </property>
  <property fmtid="{D5CDD505-2E9C-101B-9397-08002B2CF9AE}" pid="16" name="FSC#SKMH@103.510:zaznam_vnut_adresati_MH_15">
    <vt:lpwstr/>
  </property>
  <property fmtid="{D5CDD505-2E9C-101B-9397-08002B2CF9AE}" pid="17" name="FSC#SKMH@103.510:zaznam_vnut_adresati_MH_16">
    <vt:lpwstr/>
  </property>
  <property fmtid="{D5CDD505-2E9C-101B-9397-08002B2CF9AE}" pid="18" name="FSC#SKMH@103.510:zaznam_vnut_adresati_MH_17">
    <vt:lpwstr/>
  </property>
  <property fmtid="{D5CDD505-2E9C-101B-9397-08002B2CF9AE}" pid="19" name="FSC#SKMH@103.510:zaznam_vnut_adresati_MH_18">
    <vt:lpwstr/>
  </property>
  <property fmtid="{D5CDD505-2E9C-101B-9397-08002B2CF9AE}" pid="20" name="FSC#SKMH@103.510:zaznam_vnut_adresati_MH_19">
    <vt:lpwstr/>
  </property>
  <property fmtid="{D5CDD505-2E9C-101B-9397-08002B2CF9AE}" pid="21" name="FSC#SKMH@103.510:zaznam_vnut_adresati_MH_20">
    <vt:lpwstr/>
  </property>
  <property fmtid="{D5CDD505-2E9C-101B-9397-08002B2CF9AE}" pid="22" name="FSC#SKMH@103.510:zaznam_vnut_adresati_MH_21">
    <vt:lpwstr/>
  </property>
  <property fmtid="{D5CDD505-2E9C-101B-9397-08002B2CF9AE}" pid="23" name="FSC#SKMH@103.510:zaznam_vnut_adresati_MH_22">
    <vt:lpwstr/>
  </property>
  <property fmtid="{D5CDD505-2E9C-101B-9397-08002B2CF9AE}" pid="24" name="FSC#SKMH@103.510:zaznam_vnut_adresati_MH_23">
    <vt:lpwstr/>
  </property>
  <property fmtid="{D5CDD505-2E9C-101B-9397-08002B2CF9AE}" pid="25" name="FSC#SKMH@103.510:zaznam_vnut_adresati_MH_24">
    <vt:lpwstr/>
  </property>
  <property fmtid="{D5CDD505-2E9C-101B-9397-08002B2CF9AE}" pid="26" name="FSC#SKMH@103.510:zaznam_vnut_adresati_MH_25">
    <vt:lpwstr/>
  </property>
  <property fmtid="{D5CDD505-2E9C-101B-9397-08002B2CF9AE}" pid="27" name="FSC#SKMH@103.510:zaznam_vnut_adresati_MH_26">
    <vt:lpwstr/>
  </property>
  <property fmtid="{D5CDD505-2E9C-101B-9397-08002B2CF9AE}" pid="28" name="FSC#SKMH@103.510:zaznam_vnut_adresati_MH_27">
    <vt:lpwstr/>
  </property>
  <property fmtid="{D5CDD505-2E9C-101B-9397-08002B2CF9AE}" pid="29" name="FSC#SKMH@103.510:zaznam_vnut_adresati_MH_28">
    <vt:lpwstr/>
  </property>
  <property fmtid="{D5CDD505-2E9C-101B-9397-08002B2CF9AE}" pid="30" name="FSC#SKMH@103.510:zaznam_vnut_adresati_MH_29">
    <vt:lpwstr/>
  </property>
  <property fmtid="{D5CDD505-2E9C-101B-9397-08002B2CF9AE}" pid="31" name="FSC#SKMH@103.510:zaznam_vnut_adresati_MH_30">
    <vt:lpwstr/>
  </property>
  <property fmtid="{D5CDD505-2E9C-101B-9397-08002B2CF9AE}" pid="32" name="FSC#SKMH@103.510:zaznam_vnut_adresati_MH_31">
    <vt:lpwstr/>
  </property>
  <property fmtid="{D5CDD505-2E9C-101B-9397-08002B2CF9AE}" pid="33" name="FSC#SKMH@103.510:zaznam_vnut_adresati_MH_32">
    <vt:lpwstr/>
  </property>
  <property fmtid="{D5CDD505-2E9C-101B-9397-08002B2CF9AE}" pid="34" name="FSC#SKMH@103.510:zaznam_vnut_adresati_MH_33">
    <vt:lpwstr/>
  </property>
  <property fmtid="{D5CDD505-2E9C-101B-9397-08002B2CF9AE}" pid="35" name="FSC#SKMH@103.510:zaznam_vnut_adresati_MH_34">
    <vt:lpwstr/>
  </property>
  <property fmtid="{D5CDD505-2E9C-101B-9397-08002B2CF9AE}" pid="36" name="FSC#SKMH@103.510:zaznam_vnut_adresati_MH_35">
    <vt:lpwstr/>
  </property>
  <property fmtid="{D5CDD505-2E9C-101B-9397-08002B2CF9AE}" pid="37" name="FSC#SKMH@103.510:zaznam_vnut_adresati_MH_36">
    <vt:lpwstr/>
  </property>
  <property fmtid="{D5CDD505-2E9C-101B-9397-08002B2CF9AE}" pid="38" name="FSC#SKMH@103.510:zaznam_vnut_adresati_MH_37">
    <vt:lpwstr/>
  </property>
  <property fmtid="{D5CDD505-2E9C-101B-9397-08002B2CF9AE}" pid="39" name="FSC#SKMH@103.510:zaznam_vnut_adresati_MH_38">
    <vt:lpwstr/>
  </property>
  <property fmtid="{D5CDD505-2E9C-101B-9397-08002B2CF9AE}" pid="40" name="FSC#SKMH@103.510:zaznam_vnut_adresati_MH_39">
    <vt:lpwstr/>
  </property>
  <property fmtid="{D5CDD505-2E9C-101B-9397-08002B2CF9AE}" pid="41" name="FSC#SKMH@103.510:zaznam_vnut_adresati_MH_40">
    <vt:lpwstr/>
  </property>
  <property fmtid="{D5CDD505-2E9C-101B-9397-08002B2CF9AE}" pid="42" name="FSC#SKMH@103.510:zaznam_vnut_adresati_rozd_MH">
    <vt:lpwstr/>
  </property>
  <property fmtid="{D5CDD505-2E9C-101B-9397-08002B2CF9AE}" pid="43" name="FSC#SKEDITIONREG@103.510:a_acceptor">
    <vt:lpwstr/>
  </property>
  <property fmtid="{D5CDD505-2E9C-101B-9397-08002B2CF9AE}" pid="44" name="FSC#SKEDITIONREG@103.510:a_clearedat">
    <vt:lpwstr/>
  </property>
  <property fmtid="{D5CDD505-2E9C-101B-9397-08002B2CF9AE}" pid="45" name="FSC#SKEDITIONREG@103.510:a_clearedby">
    <vt:lpwstr/>
  </property>
  <property fmtid="{D5CDD505-2E9C-101B-9397-08002B2CF9AE}" pid="46" name="FSC#SKEDITIONREG@103.510:a_comm">
    <vt:lpwstr/>
  </property>
  <property fmtid="{D5CDD505-2E9C-101B-9397-08002B2CF9AE}" pid="47" name="FSC#SKEDITIONREG@103.510:a_decisionattachments">
    <vt:lpwstr/>
  </property>
  <property fmtid="{D5CDD505-2E9C-101B-9397-08002B2CF9AE}" pid="48" name="FSC#SKEDITIONREG@103.510:a_deliveredat">
    <vt:lpwstr/>
  </property>
  <property fmtid="{D5CDD505-2E9C-101B-9397-08002B2CF9AE}" pid="49" name="FSC#SKEDITIONREG@103.510:a_delivery">
    <vt:lpwstr/>
  </property>
  <property fmtid="{D5CDD505-2E9C-101B-9397-08002B2CF9AE}" pid="50" name="FSC#SKEDITIONREG@103.510:a_extension">
    <vt:lpwstr/>
  </property>
  <property fmtid="{D5CDD505-2E9C-101B-9397-08002B2CF9AE}" pid="51" name="FSC#SKEDITIONREG@103.510:a_filenumber">
    <vt:lpwstr/>
  </property>
  <property fmtid="{D5CDD505-2E9C-101B-9397-08002B2CF9AE}" pid="52" name="FSC#SKEDITIONREG@103.510:a_fileresponsible">
    <vt:lpwstr/>
  </property>
  <property fmtid="{D5CDD505-2E9C-101B-9397-08002B2CF9AE}" pid="53" name="FSC#SKEDITIONREG@103.510:a_fileresporg">
    <vt:lpwstr/>
  </property>
  <property fmtid="{D5CDD505-2E9C-101B-9397-08002B2CF9AE}" pid="54" name="FSC#SKEDITIONREG@103.510:a_fileresporg_email_OU">
    <vt:lpwstr/>
  </property>
  <property fmtid="{D5CDD505-2E9C-101B-9397-08002B2CF9AE}" pid="55" name="FSC#SKEDITIONREG@103.510:a_fileresporg_emailaddress">
    <vt:lpwstr/>
  </property>
  <property fmtid="{D5CDD505-2E9C-101B-9397-08002B2CF9AE}" pid="56" name="FSC#SKEDITIONREG@103.510:a_fileresporg_fax">
    <vt:lpwstr/>
  </property>
  <property fmtid="{D5CDD505-2E9C-101B-9397-08002B2CF9AE}" pid="57" name="FSC#SKEDITIONREG@103.510:a_fileresporg_fax_OU">
    <vt:lpwstr/>
  </property>
  <property fmtid="{D5CDD505-2E9C-101B-9397-08002B2CF9AE}" pid="58" name="FSC#SKEDITIONREG@103.510:a_fileresporg_function">
    <vt:lpwstr/>
  </property>
  <property fmtid="{D5CDD505-2E9C-101B-9397-08002B2CF9AE}" pid="59" name="FSC#SKEDITIONREG@103.510:a_fileresporg_function_OU">
    <vt:lpwstr/>
  </property>
  <property fmtid="{D5CDD505-2E9C-101B-9397-08002B2CF9AE}" pid="60" name="FSC#SKEDITIONREG@103.510:a_fileresporg_head">
    <vt:lpwstr/>
  </property>
  <property fmtid="{D5CDD505-2E9C-101B-9397-08002B2CF9AE}" pid="61" name="FSC#SKEDITIONREG@103.510:a_fileresporg_head_OU">
    <vt:lpwstr/>
  </property>
  <property fmtid="{D5CDD505-2E9C-101B-9397-08002B2CF9AE}" pid="62" name="FSC#SKEDITIONREG@103.510:a_fileresporg_OU">
    <vt:lpwstr/>
  </property>
  <property fmtid="{D5CDD505-2E9C-101B-9397-08002B2CF9AE}" pid="63" name="FSC#SKEDITIONREG@103.510:a_fileresporg_phone">
    <vt:lpwstr/>
  </property>
  <property fmtid="{D5CDD505-2E9C-101B-9397-08002B2CF9AE}" pid="64" name="FSC#SKEDITIONREG@103.510:a_fileresporg_phone_OU">
    <vt:lpwstr/>
  </property>
  <property fmtid="{D5CDD505-2E9C-101B-9397-08002B2CF9AE}" pid="65" name="FSC#SKEDITIONREG@103.510:a_incattachments">
    <vt:lpwstr/>
  </property>
  <property fmtid="{D5CDD505-2E9C-101B-9397-08002B2CF9AE}" pid="66" name="FSC#SKEDITIONREG@103.510:a_incnr">
    <vt:lpwstr/>
  </property>
  <property fmtid="{D5CDD505-2E9C-101B-9397-08002B2CF9AE}" pid="67" name="FSC#SKEDITIONREG@103.510:a_objcreatedstr">
    <vt:lpwstr/>
  </property>
  <property fmtid="{D5CDD505-2E9C-101B-9397-08002B2CF9AE}" pid="68" name="FSC#SKEDITIONREG@103.510:a_ordernumber">
    <vt:lpwstr/>
  </property>
  <property fmtid="{D5CDD505-2E9C-101B-9397-08002B2CF9AE}" pid="69" name="FSC#SKEDITIONREG@103.510:a_oursign">
    <vt:lpwstr/>
  </property>
  <property fmtid="{D5CDD505-2E9C-101B-9397-08002B2CF9AE}" pid="70" name="FSC#SKEDITIONREG@103.510:a_sendersign">
    <vt:lpwstr/>
  </property>
  <property fmtid="{D5CDD505-2E9C-101B-9397-08002B2CF9AE}" pid="71" name="FSC#SKEDITIONREG@103.510:a_shortou">
    <vt:lpwstr/>
  </property>
  <property fmtid="{D5CDD505-2E9C-101B-9397-08002B2CF9AE}" pid="72" name="FSC#SKEDITIONREG@103.510:a_testsalutation">
    <vt:lpwstr/>
  </property>
  <property fmtid="{D5CDD505-2E9C-101B-9397-08002B2CF9AE}" pid="73" name="FSC#SKEDITIONREG@103.510:a_validfrom">
    <vt:lpwstr/>
  </property>
  <property fmtid="{D5CDD505-2E9C-101B-9397-08002B2CF9AE}" pid="74" name="FSC#SKEDITIONREG@103.510:as_activity">
    <vt:lpwstr/>
  </property>
  <property fmtid="{D5CDD505-2E9C-101B-9397-08002B2CF9AE}" pid="75" name="FSC#SKEDITIONREG@103.510:as_docdate">
    <vt:lpwstr/>
  </property>
  <property fmtid="{D5CDD505-2E9C-101B-9397-08002B2CF9AE}" pid="76" name="FSC#SKEDITIONREG@103.510:as_establishdate">
    <vt:lpwstr/>
  </property>
  <property fmtid="{D5CDD505-2E9C-101B-9397-08002B2CF9AE}" pid="77" name="FSC#SKEDITIONREG@103.510:as_fileresphead">
    <vt:lpwstr/>
  </property>
  <property fmtid="{D5CDD505-2E9C-101B-9397-08002B2CF9AE}" pid="78" name="FSC#SKEDITIONREG@103.510:as_filerespheadfnct">
    <vt:lpwstr/>
  </property>
  <property fmtid="{D5CDD505-2E9C-101B-9397-08002B2CF9AE}" pid="79" name="FSC#SKEDITIONREG@103.510:as_fileresponsible">
    <vt:lpwstr/>
  </property>
  <property fmtid="{D5CDD505-2E9C-101B-9397-08002B2CF9AE}" pid="80" name="FSC#SKEDITIONREG@103.510:as_filesubj">
    <vt:lpwstr/>
  </property>
  <property fmtid="{D5CDD505-2E9C-101B-9397-08002B2CF9AE}" pid="81" name="FSC#SKEDITIONREG@103.510:as_objname">
    <vt:lpwstr/>
  </property>
  <property fmtid="{D5CDD505-2E9C-101B-9397-08002B2CF9AE}" pid="82" name="FSC#SKEDITIONREG@103.510:as_ou">
    <vt:lpwstr/>
  </property>
  <property fmtid="{D5CDD505-2E9C-101B-9397-08002B2CF9AE}" pid="83" name="FSC#SKEDITIONREG@103.510:as_owner">
    <vt:lpwstr>wsmhpzpness</vt:lpwstr>
  </property>
  <property fmtid="{D5CDD505-2E9C-101B-9397-08002B2CF9AE}" pid="84" name="FSC#SKEDITIONREG@103.510:as_phonelink">
    <vt:lpwstr/>
  </property>
  <property fmtid="{D5CDD505-2E9C-101B-9397-08002B2CF9AE}" pid="85" name="FSC#SKEDITIONREG@103.510:oz_externAdr">
    <vt:lpwstr/>
  </property>
  <property fmtid="{D5CDD505-2E9C-101B-9397-08002B2CF9AE}" pid="86" name="FSC#SKEDITIONREG@103.510:a_depositperiod">
    <vt:lpwstr/>
  </property>
  <property fmtid="{D5CDD505-2E9C-101B-9397-08002B2CF9AE}" pid="87" name="FSC#SKEDITIONREG@103.510:a_disposestate">
    <vt:lpwstr/>
  </property>
  <property fmtid="{D5CDD505-2E9C-101B-9397-08002B2CF9AE}" pid="88" name="FSC#SKEDITIONREG@103.510:a_fileresponsiblefnct">
    <vt:lpwstr/>
  </property>
  <property fmtid="{D5CDD505-2E9C-101B-9397-08002B2CF9AE}" pid="89" name="FSC#SKEDITIONREG@103.510:a_fileresporg_position">
    <vt:lpwstr/>
  </property>
  <property fmtid="{D5CDD505-2E9C-101B-9397-08002B2CF9AE}" pid="90" name="FSC#SKEDITIONREG@103.510:a_fileresporg_position_OU">
    <vt:lpwstr/>
  </property>
  <property fmtid="{D5CDD505-2E9C-101B-9397-08002B2CF9AE}" pid="91" name="FSC#SKEDITIONREG@103.510:a_osobnecislosprac">
    <vt:lpwstr/>
  </property>
  <property fmtid="{D5CDD505-2E9C-101B-9397-08002B2CF9AE}" pid="92" name="FSC#SKEDITIONREG@103.510:a_registrysign">
    <vt:lpwstr/>
  </property>
  <property fmtid="{D5CDD505-2E9C-101B-9397-08002B2CF9AE}" pid="93" name="FSC#SKEDITIONREG@103.510:a_subfileatt">
    <vt:lpwstr/>
  </property>
  <property fmtid="{D5CDD505-2E9C-101B-9397-08002B2CF9AE}" pid="94" name="FSC#SKEDITIONREG@103.510:as_filesubjall">
    <vt:lpwstr/>
  </property>
  <property fmtid="{D5CDD505-2E9C-101B-9397-08002B2CF9AE}" pid="95" name="FSC#SKEDITIONREG@103.510:CreatedAt">
    <vt:lpwstr>3. 10. 2023, 12:00</vt:lpwstr>
  </property>
  <property fmtid="{D5CDD505-2E9C-101B-9397-08002B2CF9AE}" pid="96" name="FSC#SKEDITIONREG@103.510:curruserrolegroup">
    <vt:lpwstr>Odbor palív a energetiky</vt:lpwstr>
  </property>
  <property fmtid="{D5CDD505-2E9C-101B-9397-08002B2CF9AE}" pid="97" name="FSC#SKEDITIONREG@103.510:currusersubst">
    <vt:lpwstr>v z. Ing. Miroslav Fargaš</vt:lpwstr>
  </property>
  <property fmtid="{D5CDD505-2E9C-101B-9397-08002B2CF9AE}" pid="98" name="FSC#SKEDITIONREG@103.510:emailsprac">
    <vt:lpwstr/>
  </property>
  <property fmtid="{D5CDD505-2E9C-101B-9397-08002B2CF9AE}" pid="99" name="FSC#SKEDITIONREG@103.510:ms_VyskladaniePoznamok">
    <vt:lpwstr/>
  </property>
  <property fmtid="{D5CDD505-2E9C-101B-9397-08002B2CF9AE}" pid="100" name="FSC#SKEDITIONREG@103.510:oumlname_fnct">
    <vt:lpwstr/>
  </property>
  <property fmtid="{D5CDD505-2E9C-101B-9397-08002B2CF9AE}" pid="101" name="FSC#SKEDITIONREG@103.510:sk_org_city">
    <vt:lpwstr>Bratislava-Ružinov</vt:lpwstr>
  </property>
  <property fmtid="{D5CDD505-2E9C-101B-9397-08002B2CF9AE}" pid="102" name="FSC#SKEDITIONREG@103.510:sk_org_dic">
    <vt:lpwstr/>
  </property>
  <property fmtid="{D5CDD505-2E9C-101B-9397-08002B2CF9AE}" pid="103" name="FSC#SKEDITIONREG@103.510:sk_org_email">
    <vt:lpwstr/>
  </property>
  <property fmtid="{D5CDD505-2E9C-101B-9397-08002B2CF9AE}" pid="104" name="FSC#SKEDITIONREG@103.510:sk_org_fax">
    <vt:lpwstr/>
  </property>
  <property fmtid="{D5CDD505-2E9C-101B-9397-08002B2CF9AE}" pid="105" name="FSC#SKEDITIONREG@103.510:sk_org_fullname">
    <vt:lpwstr>Ministerstvo hospodárstva Slovenskej republiky</vt:lpwstr>
  </property>
  <property fmtid="{D5CDD505-2E9C-101B-9397-08002B2CF9AE}" pid="106" name="FSC#SKEDITIONREG@103.510:sk_org_ico">
    <vt:lpwstr>00686832</vt:lpwstr>
  </property>
  <property fmtid="{D5CDD505-2E9C-101B-9397-08002B2CF9AE}" pid="107" name="FSC#SKEDITIONREG@103.510:sk_org_phone">
    <vt:lpwstr>+421 2 4854 1111 </vt:lpwstr>
  </property>
  <property fmtid="{D5CDD505-2E9C-101B-9397-08002B2CF9AE}" pid="108" name="FSC#SKEDITIONREG@103.510:sk_org_shortname">
    <vt:lpwstr/>
  </property>
  <property fmtid="{D5CDD505-2E9C-101B-9397-08002B2CF9AE}" pid="109" name="FSC#SKEDITIONREG@103.510:sk_org_state">
    <vt:lpwstr>Bratislava II</vt:lpwstr>
  </property>
  <property fmtid="{D5CDD505-2E9C-101B-9397-08002B2CF9AE}" pid="110" name="FSC#SKEDITIONREG@103.510:sk_org_street">
    <vt:lpwstr>Mlynské nivy 4924/44A</vt:lpwstr>
  </property>
  <property fmtid="{D5CDD505-2E9C-101B-9397-08002B2CF9AE}" pid="111" name="FSC#SKEDITIONREG@103.510:sk_org_zip">
    <vt:lpwstr>821 05</vt:lpwstr>
  </property>
  <property fmtid="{D5CDD505-2E9C-101B-9397-08002B2CF9AE}" pid="112" name="FSC#SKEDITIONREG@103.510:viz_clearedat">
    <vt:lpwstr/>
  </property>
  <property fmtid="{D5CDD505-2E9C-101B-9397-08002B2CF9AE}" pid="113" name="FSC#SKEDITIONREG@103.510:viz_clearedby">
    <vt:lpwstr/>
  </property>
  <property fmtid="{D5CDD505-2E9C-101B-9397-08002B2CF9AE}" pid="114" name="FSC#SKEDITIONREG@103.510:viz_comm">
    <vt:lpwstr/>
  </property>
  <property fmtid="{D5CDD505-2E9C-101B-9397-08002B2CF9AE}" pid="115" name="FSC#SKEDITIONREG@103.510:viz_decisionattachments">
    <vt:lpwstr/>
  </property>
  <property fmtid="{D5CDD505-2E9C-101B-9397-08002B2CF9AE}" pid="116" name="FSC#SKEDITIONREG@103.510:viz_deliveredat">
    <vt:lpwstr/>
  </property>
  <property fmtid="{D5CDD505-2E9C-101B-9397-08002B2CF9AE}" pid="117" name="FSC#SKEDITIONREG@103.510:viz_delivery">
    <vt:lpwstr/>
  </property>
  <property fmtid="{D5CDD505-2E9C-101B-9397-08002B2CF9AE}" pid="118" name="FSC#SKEDITIONREG@103.510:viz_extension">
    <vt:lpwstr/>
  </property>
  <property fmtid="{D5CDD505-2E9C-101B-9397-08002B2CF9AE}" pid="119" name="FSC#SKEDITIONREG@103.510:viz_filenumber">
    <vt:lpwstr/>
  </property>
  <property fmtid="{D5CDD505-2E9C-101B-9397-08002B2CF9AE}" pid="120" name="FSC#SKEDITIONREG@103.510:viz_fileresponsible">
    <vt:lpwstr/>
  </property>
  <property fmtid="{D5CDD505-2E9C-101B-9397-08002B2CF9AE}" pid="121" name="FSC#SKEDITIONREG@103.510:viz_fileresporg">
    <vt:lpwstr/>
  </property>
  <property fmtid="{D5CDD505-2E9C-101B-9397-08002B2CF9AE}" pid="122" name="FSC#SKEDITIONREG@103.510:viz_fileresporg_email_OU">
    <vt:lpwstr/>
  </property>
  <property fmtid="{D5CDD505-2E9C-101B-9397-08002B2CF9AE}" pid="123" name="FSC#SKEDITIONREG@103.510:viz_fileresporg_emailaddress">
    <vt:lpwstr/>
  </property>
  <property fmtid="{D5CDD505-2E9C-101B-9397-08002B2CF9AE}" pid="124" name="FSC#SKEDITIONREG@103.510:viz_fileresporg_fax">
    <vt:lpwstr/>
  </property>
  <property fmtid="{D5CDD505-2E9C-101B-9397-08002B2CF9AE}" pid="125" name="FSC#SKEDITIONREG@103.510:viz_fileresporg_fax_OU">
    <vt:lpwstr/>
  </property>
  <property fmtid="{D5CDD505-2E9C-101B-9397-08002B2CF9AE}" pid="126" name="FSC#SKEDITIONREG@103.510:viz_fileresporg_function">
    <vt:lpwstr/>
  </property>
  <property fmtid="{D5CDD505-2E9C-101B-9397-08002B2CF9AE}" pid="127" name="FSC#SKEDITIONREG@103.510:viz_fileresporg_function_OU">
    <vt:lpwstr/>
  </property>
  <property fmtid="{D5CDD505-2E9C-101B-9397-08002B2CF9AE}" pid="128" name="FSC#SKEDITIONREG@103.510:viz_fileresporg_head">
    <vt:lpwstr/>
  </property>
  <property fmtid="{D5CDD505-2E9C-101B-9397-08002B2CF9AE}" pid="129" name="FSC#SKEDITIONREG@103.510:viz_fileresporg_head_OU">
    <vt:lpwstr/>
  </property>
  <property fmtid="{D5CDD505-2E9C-101B-9397-08002B2CF9AE}" pid="130" name="FSC#SKEDITIONREG@103.510:viz_fileresporg_longname">
    <vt:lpwstr/>
  </property>
  <property fmtid="{D5CDD505-2E9C-101B-9397-08002B2CF9AE}" pid="131" name="FSC#SKEDITIONREG@103.510:viz_fileresporg_mesto">
    <vt:lpwstr/>
  </property>
  <property fmtid="{D5CDD505-2E9C-101B-9397-08002B2CF9AE}" pid="132" name="FSC#SKEDITIONREG@103.510:viz_fileresporg_odbor">
    <vt:lpwstr/>
  </property>
  <property fmtid="{D5CDD505-2E9C-101B-9397-08002B2CF9AE}" pid="133" name="FSC#SKEDITIONREG@103.510:viz_fileresporg_odbor_function">
    <vt:lpwstr/>
  </property>
  <property fmtid="{D5CDD505-2E9C-101B-9397-08002B2CF9AE}" pid="134" name="FSC#SKEDITIONREG@103.510:viz_fileresporg_odbor_head">
    <vt:lpwstr/>
  </property>
  <property fmtid="{D5CDD505-2E9C-101B-9397-08002B2CF9AE}" pid="135" name="FSC#SKEDITIONREG@103.510:viz_fileresporg_OU">
    <vt:lpwstr/>
  </property>
  <property fmtid="{D5CDD505-2E9C-101B-9397-08002B2CF9AE}" pid="136" name="FSC#SKEDITIONREG@103.510:viz_fileresporg_phone">
    <vt:lpwstr/>
  </property>
  <property fmtid="{D5CDD505-2E9C-101B-9397-08002B2CF9AE}" pid="137" name="FSC#SKEDITIONREG@103.510:viz_fileresporg_phone_OU">
    <vt:lpwstr/>
  </property>
  <property fmtid="{D5CDD505-2E9C-101B-9397-08002B2CF9AE}" pid="138" name="FSC#SKEDITIONREG@103.510:viz_fileresporg_position">
    <vt:lpwstr/>
  </property>
  <property fmtid="{D5CDD505-2E9C-101B-9397-08002B2CF9AE}" pid="139" name="FSC#SKEDITIONREG@103.510:viz_fileresporg_position_OU">
    <vt:lpwstr/>
  </property>
  <property fmtid="{D5CDD505-2E9C-101B-9397-08002B2CF9AE}" pid="140" name="FSC#SKEDITIONREG@103.510:viz_fileresporg_psc">
    <vt:lpwstr/>
  </property>
  <property fmtid="{D5CDD505-2E9C-101B-9397-08002B2CF9AE}" pid="141" name="FSC#SKEDITIONREG@103.510:viz_fileresporg_sekcia">
    <vt:lpwstr/>
  </property>
  <property fmtid="{D5CDD505-2E9C-101B-9397-08002B2CF9AE}" pid="142" name="FSC#SKEDITIONREG@103.510:viz_fileresporg_sekcia_function">
    <vt:lpwstr/>
  </property>
  <property fmtid="{D5CDD505-2E9C-101B-9397-08002B2CF9AE}" pid="143" name="FSC#SKEDITIONREG@103.510:viz_fileresporg_sekcia_head">
    <vt:lpwstr/>
  </property>
  <property fmtid="{D5CDD505-2E9C-101B-9397-08002B2CF9AE}" pid="144" name="FSC#SKEDITIONREG@103.510:viz_fileresporg_stat">
    <vt:lpwstr/>
  </property>
  <property fmtid="{D5CDD505-2E9C-101B-9397-08002B2CF9AE}" pid="145" name="FSC#SKEDITIONREG@103.510:viz_fileresporg_ulica">
    <vt:lpwstr/>
  </property>
  <property fmtid="{D5CDD505-2E9C-101B-9397-08002B2CF9AE}" pid="146" name="FSC#SKEDITIONREG@103.510:viz_fileresporgknazov">
    <vt:lpwstr/>
  </property>
  <property fmtid="{D5CDD505-2E9C-101B-9397-08002B2CF9AE}" pid="147" name="FSC#SKEDITIONREG@103.510:viz_filesubj">
    <vt:lpwstr/>
  </property>
  <property fmtid="{D5CDD505-2E9C-101B-9397-08002B2CF9AE}" pid="148" name="FSC#SKEDITIONREG@103.510:viz_incattachments">
    <vt:lpwstr/>
  </property>
  <property fmtid="{D5CDD505-2E9C-101B-9397-08002B2CF9AE}" pid="149" name="FSC#SKEDITIONREG@103.510:viz_incnr">
    <vt:lpwstr/>
  </property>
  <property fmtid="{D5CDD505-2E9C-101B-9397-08002B2CF9AE}" pid="150" name="FSC#SKEDITIONREG@103.510:viz_intletterrecivers">
    <vt:lpwstr/>
  </property>
  <property fmtid="{D5CDD505-2E9C-101B-9397-08002B2CF9AE}" pid="151" name="FSC#SKEDITIONREG@103.510:viz_objcreatedstr">
    <vt:lpwstr/>
  </property>
  <property fmtid="{D5CDD505-2E9C-101B-9397-08002B2CF9AE}" pid="152" name="FSC#SKEDITIONREG@103.510:viz_ordernumber">
    <vt:lpwstr/>
  </property>
  <property fmtid="{D5CDD505-2E9C-101B-9397-08002B2CF9AE}" pid="153" name="FSC#SKEDITIONREG@103.510:viz_oursign">
    <vt:lpwstr/>
  </property>
  <property fmtid="{D5CDD505-2E9C-101B-9397-08002B2CF9AE}" pid="154" name="FSC#SKEDITIONREG@103.510:viz_responseto_createdby">
    <vt:lpwstr/>
  </property>
  <property fmtid="{D5CDD505-2E9C-101B-9397-08002B2CF9AE}" pid="155" name="FSC#SKEDITIONREG@103.510:viz_sendersign">
    <vt:lpwstr/>
  </property>
  <property fmtid="{D5CDD505-2E9C-101B-9397-08002B2CF9AE}" pid="156" name="FSC#SKEDITIONREG@103.510:viz_shortfileresporg">
    <vt:lpwstr/>
  </property>
  <property fmtid="{D5CDD505-2E9C-101B-9397-08002B2CF9AE}" pid="157" name="FSC#SKEDITIONREG@103.510:viz_tel_number">
    <vt:lpwstr/>
  </property>
  <property fmtid="{D5CDD505-2E9C-101B-9397-08002B2CF9AE}" pid="158" name="FSC#SKEDITIONREG@103.510:viz_tel_number2">
    <vt:lpwstr/>
  </property>
  <property fmtid="{D5CDD505-2E9C-101B-9397-08002B2CF9AE}" pid="159" name="FSC#SKEDITIONREG@103.510:viz_testsalutation">
    <vt:lpwstr/>
  </property>
  <property fmtid="{D5CDD505-2E9C-101B-9397-08002B2CF9AE}" pid="160" name="FSC#SKEDITIONREG@103.510:viz_validfrom">
    <vt:lpwstr/>
  </property>
  <property fmtid="{D5CDD505-2E9C-101B-9397-08002B2CF9AE}" pid="161" name="FSC#SKEDITIONREG@103.510:zaznam_jeden_adresat">
    <vt:lpwstr/>
  </property>
  <property fmtid="{D5CDD505-2E9C-101B-9397-08002B2CF9AE}" pid="162" name="FSC#SKEDITIONREG@103.510:zaznam_vnut_adresati_1">
    <vt:lpwstr/>
  </property>
  <property fmtid="{D5CDD505-2E9C-101B-9397-08002B2CF9AE}" pid="163" name="FSC#SKEDITIONREG@103.510:zaznam_vnut_adresati_2">
    <vt:lpwstr/>
  </property>
  <property fmtid="{D5CDD505-2E9C-101B-9397-08002B2CF9AE}" pid="164" name="FSC#SKEDITIONREG@103.510:zaznam_vnut_adresati_3">
    <vt:lpwstr/>
  </property>
  <property fmtid="{D5CDD505-2E9C-101B-9397-08002B2CF9AE}" pid="165" name="FSC#SKEDITIONREG@103.510:zaznam_vnut_adresati_4">
    <vt:lpwstr/>
  </property>
  <property fmtid="{D5CDD505-2E9C-101B-9397-08002B2CF9AE}" pid="166" name="FSC#SKEDITIONREG@103.510:zaznam_vnut_adresati_5">
    <vt:lpwstr/>
  </property>
  <property fmtid="{D5CDD505-2E9C-101B-9397-08002B2CF9AE}" pid="167" name="FSC#SKEDITIONREG@103.510:zaznam_vnut_adresati_6">
    <vt:lpwstr/>
  </property>
  <property fmtid="{D5CDD505-2E9C-101B-9397-08002B2CF9AE}" pid="168" name="FSC#SKEDITIONREG@103.510:zaznam_vnut_adresati_7">
    <vt:lpwstr/>
  </property>
  <property fmtid="{D5CDD505-2E9C-101B-9397-08002B2CF9AE}" pid="169" name="FSC#SKEDITIONREG@103.510:zaznam_vnut_adresati_8">
    <vt:lpwstr/>
  </property>
  <property fmtid="{D5CDD505-2E9C-101B-9397-08002B2CF9AE}" pid="170" name="FSC#SKEDITIONREG@103.510:zaznam_vnut_adresati_9">
    <vt:lpwstr/>
  </property>
  <property fmtid="{D5CDD505-2E9C-101B-9397-08002B2CF9AE}" pid="171" name="FSC#SKEDITIONREG@103.510:zaznam_vnut_adresati_10">
    <vt:lpwstr/>
  </property>
  <property fmtid="{D5CDD505-2E9C-101B-9397-08002B2CF9AE}" pid="172" name="FSC#SKEDITIONREG@103.510:zaznam_vnut_adresati_11">
    <vt:lpwstr/>
  </property>
  <property fmtid="{D5CDD505-2E9C-101B-9397-08002B2CF9AE}" pid="173" name="FSC#SKEDITIONREG@103.510:zaznam_vnut_adresati_12">
    <vt:lpwstr/>
  </property>
  <property fmtid="{D5CDD505-2E9C-101B-9397-08002B2CF9AE}" pid="174" name="FSC#SKEDITIONREG@103.510:zaznam_vnut_adresati_13">
    <vt:lpwstr/>
  </property>
  <property fmtid="{D5CDD505-2E9C-101B-9397-08002B2CF9AE}" pid="175" name="FSC#SKEDITIONREG@103.510:zaznam_vnut_adresati_14">
    <vt:lpwstr/>
  </property>
  <property fmtid="{D5CDD505-2E9C-101B-9397-08002B2CF9AE}" pid="176" name="FSC#SKEDITIONREG@103.510:zaznam_vnut_adresati_15">
    <vt:lpwstr/>
  </property>
  <property fmtid="{D5CDD505-2E9C-101B-9397-08002B2CF9AE}" pid="177" name="FSC#SKEDITIONREG@103.510:zaznam_vnut_adresati_16">
    <vt:lpwstr/>
  </property>
  <property fmtid="{D5CDD505-2E9C-101B-9397-08002B2CF9AE}" pid="178" name="FSC#SKEDITIONREG@103.510:zaznam_vnut_adresati_17">
    <vt:lpwstr/>
  </property>
  <property fmtid="{D5CDD505-2E9C-101B-9397-08002B2CF9AE}" pid="179" name="FSC#SKEDITIONREG@103.510:zaznam_vnut_adresati_18">
    <vt:lpwstr/>
  </property>
  <property fmtid="{D5CDD505-2E9C-101B-9397-08002B2CF9AE}" pid="180" name="FSC#SKEDITIONREG@103.510:zaznam_vnut_adresati_19">
    <vt:lpwstr/>
  </property>
  <property fmtid="{D5CDD505-2E9C-101B-9397-08002B2CF9AE}" pid="181" name="FSC#SKEDITIONREG@103.510:zaznam_vnut_adresati_20">
    <vt:lpwstr/>
  </property>
  <property fmtid="{D5CDD505-2E9C-101B-9397-08002B2CF9AE}" pid="182" name="FSC#SKEDITIONREG@103.510:zaznam_vnut_adresati_21">
    <vt:lpwstr/>
  </property>
  <property fmtid="{D5CDD505-2E9C-101B-9397-08002B2CF9AE}" pid="183" name="FSC#SKEDITIONREG@103.510:zaznam_vnut_adresati_22">
    <vt:lpwstr/>
  </property>
  <property fmtid="{D5CDD505-2E9C-101B-9397-08002B2CF9AE}" pid="184" name="FSC#SKEDITIONREG@103.510:zaznam_vnut_adresati_23">
    <vt:lpwstr/>
  </property>
  <property fmtid="{D5CDD505-2E9C-101B-9397-08002B2CF9AE}" pid="185" name="FSC#SKEDITIONREG@103.510:zaznam_vnut_adresati_24">
    <vt:lpwstr/>
  </property>
  <property fmtid="{D5CDD505-2E9C-101B-9397-08002B2CF9AE}" pid="186" name="FSC#SKEDITIONREG@103.510:zaznam_vnut_adresati_25">
    <vt:lpwstr/>
  </property>
  <property fmtid="{D5CDD505-2E9C-101B-9397-08002B2CF9AE}" pid="187" name="FSC#SKEDITIONREG@103.510:zaznam_vnut_adresati_26">
    <vt:lpwstr/>
  </property>
  <property fmtid="{D5CDD505-2E9C-101B-9397-08002B2CF9AE}" pid="188" name="FSC#SKEDITIONREG@103.510:zaznam_vnut_adresati_27">
    <vt:lpwstr/>
  </property>
  <property fmtid="{D5CDD505-2E9C-101B-9397-08002B2CF9AE}" pid="189" name="FSC#SKEDITIONREG@103.510:zaznam_vnut_adresati_28">
    <vt:lpwstr/>
  </property>
  <property fmtid="{D5CDD505-2E9C-101B-9397-08002B2CF9AE}" pid="190" name="FSC#SKEDITIONREG@103.510:zaznam_vnut_adresati_29">
    <vt:lpwstr/>
  </property>
  <property fmtid="{D5CDD505-2E9C-101B-9397-08002B2CF9AE}" pid="191" name="FSC#SKEDITIONREG@103.510:zaznam_vnut_adresati_30">
    <vt:lpwstr/>
  </property>
  <property fmtid="{D5CDD505-2E9C-101B-9397-08002B2CF9AE}" pid="192" name="FSC#SKEDITIONREG@103.510:zaznam_vnut_adresati_31">
    <vt:lpwstr/>
  </property>
  <property fmtid="{D5CDD505-2E9C-101B-9397-08002B2CF9AE}" pid="193" name="FSC#SKEDITIONREG@103.510:zaznam_vnut_adresati_32">
    <vt:lpwstr/>
  </property>
  <property fmtid="{D5CDD505-2E9C-101B-9397-08002B2CF9AE}" pid="194" name="FSC#SKEDITIONREG@103.510:zaznam_vnut_adresati_33">
    <vt:lpwstr/>
  </property>
  <property fmtid="{D5CDD505-2E9C-101B-9397-08002B2CF9AE}" pid="195" name="FSC#SKEDITIONREG@103.510:zaznam_vnut_adresati_34">
    <vt:lpwstr/>
  </property>
  <property fmtid="{D5CDD505-2E9C-101B-9397-08002B2CF9AE}" pid="196" name="FSC#SKEDITIONREG@103.510:zaznam_vnut_adresati_35">
    <vt:lpwstr/>
  </property>
  <property fmtid="{D5CDD505-2E9C-101B-9397-08002B2CF9AE}" pid="197" name="FSC#SKEDITIONREG@103.510:zaznam_vnut_adresati_36">
    <vt:lpwstr/>
  </property>
  <property fmtid="{D5CDD505-2E9C-101B-9397-08002B2CF9AE}" pid="198" name="FSC#SKEDITIONREG@103.510:zaznam_vnut_adresati_37">
    <vt:lpwstr/>
  </property>
  <property fmtid="{D5CDD505-2E9C-101B-9397-08002B2CF9AE}" pid="199" name="FSC#SKEDITIONREG@103.510:zaznam_vnut_adresati_38">
    <vt:lpwstr/>
  </property>
  <property fmtid="{D5CDD505-2E9C-101B-9397-08002B2CF9AE}" pid="200" name="FSC#SKEDITIONREG@103.510:zaznam_vnut_adresati_39">
    <vt:lpwstr/>
  </property>
  <property fmtid="{D5CDD505-2E9C-101B-9397-08002B2CF9AE}" pid="201" name="FSC#SKEDITIONREG@103.510:zaznam_vnut_adresati_40">
    <vt:lpwstr/>
  </property>
  <property fmtid="{D5CDD505-2E9C-101B-9397-08002B2CF9AE}" pid="202" name="FSC#SKEDITIONREG@103.510:zaznam_vnut_adresati_41">
    <vt:lpwstr/>
  </property>
  <property fmtid="{D5CDD505-2E9C-101B-9397-08002B2CF9AE}" pid="203" name="FSC#SKEDITIONREG@103.510:zaznam_vnut_adresati_42">
    <vt:lpwstr/>
  </property>
  <property fmtid="{D5CDD505-2E9C-101B-9397-08002B2CF9AE}" pid="204" name="FSC#SKEDITIONREG@103.510:zaznam_vnut_adresati_43">
    <vt:lpwstr/>
  </property>
  <property fmtid="{D5CDD505-2E9C-101B-9397-08002B2CF9AE}" pid="205" name="FSC#SKEDITIONREG@103.510:zaznam_vnut_adresati_44">
    <vt:lpwstr/>
  </property>
  <property fmtid="{D5CDD505-2E9C-101B-9397-08002B2CF9AE}" pid="206" name="FSC#SKEDITIONREG@103.510:zaznam_vnut_adresati_45">
    <vt:lpwstr/>
  </property>
  <property fmtid="{D5CDD505-2E9C-101B-9397-08002B2CF9AE}" pid="207" name="FSC#SKEDITIONREG@103.510:zaznam_vnut_adresati_46">
    <vt:lpwstr/>
  </property>
  <property fmtid="{D5CDD505-2E9C-101B-9397-08002B2CF9AE}" pid="208" name="FSC#SKEDITIONREG@103.510:zaznam_vnut_adresati_47">
    <vt:lpwstr/>
  </property>
  <property fmtid="{D5CDD505-2E9C-101B-9397-08002B2CF9AE}" pid="209" name="FSC#SKEDITIONREG@103.510:zaznam_vnut_adresati_48">
    <vt:lpwstr/>
  </property>
  <property fmtid="{D5CDD505-2E9C-101B-9397-08002B2CF9AE}" pid="210" name="FSC#SKEDITIONREG@103.510:zaznam_vnut_adresati_49">
    <vt:lpwstr/>
  </property>
  <property fmtid="{D5CDD505-2E9C-101B-9397-08002B2CF9AE}" pid="211" name="FSC#SKEDITIONREG@103.510:zaznam_vnut_adresati_50">
    <vt:lpwstr/>
  </property>
  <property fmtid="{D5CDD505-2E9C-101B-9397-08002B2CF9AE}" pid="212" name="FSC#SKEDITIONREG@103.510:zaznam_vnut_adresati_51">
    <vt:lpwstr/>
  </property>
  <property fmtid="{D5CDD505-2E9C-101B-9397-08002B2CF9AE}" pid="213" name="FSC#SKEDITIONREG@103.510:zaznam_vnut_adresati_52">
    <vt:lpwstr/>
  </property>
  <property fmtid="{D5CDD505-2E9C-101B-9397-08002B2CF9AE}" pid="214" name="FSC#SKEDITIONREG@103.510:zaznam_vnut_adresati_53">
    <vt:lpwstr/>
  </property>
  <property fmtid="{D5CDD505-2E9C-101B-9397-08002B2CF9AE}" pid="215" name="FSC#SKEDITIONREG@103.510:zaznam_vnut_adresati_54">
    <vt:lpwstr/>
  </property>
  <property fmtid="{D5CDD505-2E9C-101B-9397-08002B2CF9AE}" pid="216" name="FSC#SKEDITIONREG@103.510:zaznam_vnut_adresati_55">
    <vt:lpwstr/>
  </property>
  <property fmtid="{D5CDD505-2E9C-101B-9397-08002B2CF9AE}" pid="217" name="FSC#SKEDITIONREG@103.510:zaznam_vnut_adresati_56">
    <vt:lpwstr/>
  </property>
  <property fmtid="{D5CDD505-2E9C-101B-9397-08002B2CF9AE}" pid="218" name="FSC#SKEDITIONREG@103.510:zaznam_vnut_adresati_57">
    <vt:lpwstr/>
  </property>
  <property fmtid="{D5CDD505-2E9C-101B-9397-08002B2CF9AE}" pid="219" name="FSC#SKEDITIONREG@103.510:zaznam_vnut_adresati_58">
    <vt:lpwstr/>
  </property>
  <property fmtid="{D5CDD505-2E9C-101B-9397-08002B2CF9AE}" pid="220" name="FSC#SKEDITIONREG@103.510:zaznam_vnut_adresati_59">
    <vt:lpwstr/>
  </property>
  <property fmtid="{D5CDD505-2E9C-101B-9397-08002B2CF9AE}" pid="221" name="FSC#SKEDITIONREG@103.510:zaznam_vnut_adresati_60">
    <vt:lpwstr/>
  </property>
  <property fmtid="{D5CDD505-2E9C-101B-9397-08002B2CF9AE}" pid="222" name="FSC#SKEDITIONREG@103.510:zaznam_vnut_adresati_61">
    <vt:lpwstr/>
  </property>
  <property fmtid="{D5CDD505-2E9C-101B-9397-08002B2CF9AE}" pid="223" name="FSC#SKEDITIONREG@103.510:zaznam_vnut_adresati_62">
    <vt:lpwstr/>
  </property>
  <property fmtid="{D5CDD505-2E9C-101B-9397-08002B2CF9AE}" pid="224" name="FSC#SKEDITIONREG@103.510:zaznam_vnut_adresati_63">
    <vt:lpwstr/>
  </property>
  <property fmtid="{D5CDD505-2E9C-101B-9397-08002B2CF9AE}" pid="225" name="FSC#SKEDITIONREG@103.510:zaznam_vnut_adresati_64">
    <vt:lpwstr/>
  </property>
  <property fmtid="{D5CDD505-2E9C-101B-9397-08002B2CF9AE}" pid="226" name="FSC#SKEDITIONREG@103.510:zaznam_vnut_adresati_65">
    <vt:lpwstr/>
  </property>
  <property fmtid="{D5CDD505-2E9C-101B-9397-08002B2CF9AE}" pid="227" name="FSC#SKEDITIONREG@103.510:zaznam_vnut_adresati_66">
    <vt:lpwstr/>
  </property>
  <property fmtid="{D5CDD505-2E9C-101B-9397-08002B2CF9AE}" pid="228" name="FSC#SKEDITIONREG@103.510:zaznam_vnut_adresati_67">
    <vt:lpwstr/>
  </property>
  <property fmtid="{D5CDD505-2E9C-101B-9397-08002B2CF9AE}" pid="229" name="FSC#SKEDITIONREG@103.510:zaznam_vnut_adresati_68">
    <vt:lpwstr/>
  </property>
  <property fmtid="{D5CDD505-2E9C-101B-9397-08002B2CF9AE}" pid="230" name="FSC#SKEDITIONREG@103.510:zaznam_vnut_adresati_69">
    <vt:lpwstr/>
  </property>
  <property fmtid="{D5CDD505-2E9C-101B-9397-08002B2CF9AE}" pid="231" name="FSC#SKEDITIONREG@103.510:zaznam_vnut_adresati_70">
    <vt:lpwstr/>
  </property>
  <property fmtid="{D5CDD505-2E9C-101B-9397-08002B2CF9AE}" pid="232" name="FSC#SKEDITIONREG@103.510:zaznam_vonk_adresati_1">
    <vt:lpwstr/>
  </property>
  <property fmtid="{D5CDD505-2E9C-101B-9397-08002B2CF9AE}" pid="233" name="FSC#SKEDITIONREG@103.510:zaznam_vonk_adresati_2">
    <vt:lpwstr/>
  </property>
  <property fmtid="{D5CDD505-2E9C-101B-9397-08002B2CF9AE}" pid="234" name="FSC#SKEDITIONREG@103.510:zaznam_vonk_adresati_3">
    <vt:lpwstr/>
  </property>
  <property fmtid="{D5CDD505-2E9C-101B-9397-08002B2CF9AE}" pid="235" name="FSC#SKEDITIONREG@103.510:zaznam_vonk_adresati_4">
    <vt:lpwstr/>
  </property>
  <property fmtid="{D5CDD505-2E9C-101B-9397-08002B2CF9AE}" pid="236" name="FSC#SKEDITIONREG@103.510:zaznam_vonk_adresati_5">
    <vt:lpwstr/>
  </property>
  <property fmtid="{D5CDD505-2E9C-101B-9397-08002B2CF9AE}" pid="237" name="FSC#SKEDITIONREG@103.510:zaznam_vonk_adresati_6">
    <vt:lpwstr/>
  </property>
  <property fmtid="{D5CDD505-2E9C-101B-9397-08002B2CF9AE}" pid="238" name="FSC#SKEDITIONREG@103.510:zaznam_vonk_adresati_7">
    <vt:lpwstr/>
  </property>
  <property fmtid="{D5CDD505-2E9C-101B-9397-08002B2CF9AE}" pid="239" name="FSC#SKEDITIONREG@103.510:zaznam_vonk_adresati_8">
    <vt:lpwstr/>
  </property>
  <property fmtid="{D5CDD505-2E9C-101B-9397-08002B2CF9AE}" pid="240" name="FSC#SKEDITIONREG@103.510:zaznam_vonk_adresati_9">
    <vt:lpwstr/>
  </property>
  <property fmtid="{D5CDD505-2E9C-101B-9397-08002B2CF9AE}" pid="241" name="FSC#SKEDITIONREG@103.510:zaznam_vonk_adresati_10">
    <vt:lpwstr/>
  </property>
  <property fmtid="{D5CDD505-2E9C-101B-9397-08002B2CF9AE}" pid="242" name="FSC#SKEDITIONREG@103.510:zaznam_vonk_adresati_11">
    <vt:lpwstr/>
  </property>
  <property fmtid="{D5CDD505-2E9C-101B-9397-08002B2CF9AE}" pid="243" name="FSC#SKEDITIONREG@103.510:zaznam_vonk_adresati_12">
    <vt:lpwstr/>
  </property>
  <property fmtid="{D5CDD505-2E9C-101B-9397-08002B2CF9AE}" pid="244" name="FSC#SKEDITIONREG@103.510:zaznam_vonk_adresati_13">
    <vt:lpwstr/>
  </property>
  <property fmtid="{D5CDD505-2E9C-101B-9397-08002B2CF9AE}" pid="245" name="FSC#SKEDITIONREG@103.510:zaznam_vonk_adresati_14">
    <vt:lpwstr/>
  </property>
  <property fmtid="{D5CDD505-2E9C-101B-9397-08002B2CF9AE}" pid="246" name="FSC#SKEDITIONREG@103.510:zaznam_vonk_adresati_15">
    <vt:lpwstr/>
  </property>
  <property fmtid="{D5CDD505-2E9C-101B-9397-08002B2CF9AE}" pid="247" name="FSC#SKEDITIONREG@103.510:zaznam_vonk_adresati_16">
    <vt:lpwstr/>
  </property>
  <property fmtid="{D5CDD505-2E9C-101B-9397-08002B2CF9AE}" pid="248" name="FSC#SKEDITIONREG@103.510:zaznam_vonk_adresati_17">
    <vt:lpwstr/>
  </property>
  <property fmtid="{D5CDD505-2E9C-101B-9397-08002B2CF9AE}" pid="249" name="FSC#SKEDITIONREG@103.510:zaznam_vonk_adresati_18">
    <vt:lpwstr/>
  </property>
  <property fmtid="{D5CDD505-2E9C-101B-9397-08002B2CF9AE}" pid="250" name="FSC#SKEDITIONREG@103.510:zaznam_vonk_adresati_19">
    <vt:lpwstr/>
  </property>
  <property fmtid="{D5CDD505-2E9C-101B-9397-08002B2CF9AE}" pid="251" name="FSC#SKEDITIONREG@103.510:zaznam_vonk_adresati_20">
    <vt:lpwstr/>
  </property>
  <property fmtid="{D5CDD505-2E9C-101B-9397-08002B2CF9AE}" pid="252" name="FSC#SKEDITIONREG@103.510:zaznam_vonk_adresati_21">
    <vt:lpwstr/>
  </property>
  <property fmtid="{D5CDD505-2E9C-101B-9397-08002B2CF9AE}" pid="253" name="FSC#SKEDITIONREG@103.510:zaznam_vonk_adresati_22">
    <vt:lpwstr/>
  </property>
  <property fmtid="{D5CDD505-2E9C-101B-9397-08002B2CF9AE}" pid="254" name="FSC#SKEDITIONREG@103.510:zaznam_vonk_adresati_23">
    <vt:lpwstr/>
  </property>
  <property fmtid="{D5CDD505-2E9C-101B-9397-08002B2CF9AE}" pid="255" name="FSC#SKEDITIONREG@103.510:zaznam_vonk_adresati_24">
    <vt:lpwstr/>
  </property>
  <property fmtid="{D5CDD505-2E9C-101B-9397-08002B2CF9AE}" pid="256" name="FSC#SKEDITIONREG@103.510:zaznam_vonk_adresati_25">
    <vt:lpwstr/>
  </property>
  <property fmtid="{D5CDD505-2E9C-101B-9397-08002B2CF9AE}" pid="257" name="FSC#SKEDITIONREG@103.510:zaznam_vonk_adresati_26">
    <vt:lpwstr/>
  </property>
  <property fmtid="{D5CDD505-2E9C-101B-9397-08002B2CF9AE}" pid="258" name="FSC#SKEDITIONREG@103.510:zaznam_vonk_adresati_27">
    <vt:lpwstr/>
  </property>
  <property fmtid="{D5CDD505-2E9C-101B-9397-08002B2CF9AE}" pid="259" name="FSC#SKEDITIONREG@103.510:zaznam_vonk_adresati_28">
    <vt:lpwstr/>
  </property>
  <property fmtid="{D5CDD505-2E9C-101B-9397-08002B2CF9AE}" pid="260" name="FSC#SKEDITIONREG@103.510:zaznam_vonk_adresati_29">
    <vt:lpwstr/>
  </property>
  <property fmtid="{D5CDD505-2E9C-101B-9397-08002B2CF9AE}" pid="261" name="FSC#SKEDITIONREG@103.510:zaznam_vonk_adresati_30">
    <vt:lpwstr/>
  </property>
  <property fmtid="{D5CDD505-2E9C-101B-9397-08002B2CF9AE}" pid="262" name="FSC#SKEDITIONREG@103.510:zaznam_vonk_adresati_31">
    <vt:lpwstr/>
  </property>
  <property fmtid="{D5CDD505-2E9C-101B-9397-08002B2CF9AE}" pid="263" name="FSC#SKEDITIONREG@103.510:zaznam_vonk_adresati_32">
    <vt:lpwstr/>
  </property>
  <property fmtid="{D5CDD505-2E9C-101B-9397-08002B2CF9AE}" pid="264" name="FSC#SKEDITIONREG@103.510:zaznam_vonk_adresati_33">
    <vt:lpwstr/>
  </property>
  <property fmtid="{D5CDD505-2E9C-101B-9397-08002B2CF9AE}" pid="265" name="FSC#SKEDITIONREG@103.510:zaznam_vonk_adresati_34">
    <vt:lpwstr/>
  </property>
  <property fmtid="{D5CDD505-2E9C-101B-9397-08002B2CF9AE}" pid="266" name="FSC#SKEDITIONREG@103.510:zaznam_vonk_adresati_35">
    <vt:lpwstr/>
  </property>
  <property fmtid="{D5CDD505-2E9C-101B-9397-08002B2CF9AE}" pid="267" name="FSC#SKEDITIONREG@103.510:Stazovatel">
    <vt:lpwstr/>
  </property>
  <property fmtid="{D5CDD505-2E9C-101B-9397-08002B2CF9AE}" pid="268" name="FSC#SKEDITIONREG@103.510:ProtiKomu">
    <vt:lpwstr/>
  </property>
  <property fmtid="{D5CDD505-2E9C-101B-9397-08002B2CF9AE}" pid="269" name="FSC#SKEDITIONREG@103.510:EvCisloStaz">
    <vt:lpwstr/>
  </property>
  <property fmtid="{D5CDD505-2E9C-101B-9397-08002B2CF9AE}" pid="270" name="FSC#SKEDITIONREG@103.510:jod_AttrDateSkutocnyDatumVydania">
    <vt:lpwstr/>
  </property>
  <property fmtid="{D5CDD505-2E9C-101B-9397-08002B2CF9AE}" pid="271" name="FSC#SKEDITIONREG@103.510:jod_AttrNumCisloZmeny">
    <vt:lpwstr/>
  </property>
  <property fmtid="{D5CDD505-2E9C-101B-9397-08002B2CF9AE}" pid="272" name="FSC#SKEDITIONREG@103.510:jod_AttrStrRegCisloZaznamu">
    <vt:lpwstr/>
  </property>
  <property fmtid="{D5CDD505-2E9C-101B-9397-08002B2CF9AE}" pid="273" name="FSC#SKEDITIONREG@103.510:jod_cislodoc">
    <vt:lpwstr/>
  </property>
  <property fmtid="{D5CDD505-2E9C-101B-9397-08002B2CF9AE}" pid="274" name="FSC#SKEDITIONREG@103.510:jod_druh">
    <vt:lpwstr/>
  </property>
  <property fmtid="{D5CDD505-2E9C-101B-9397-08002B2CF9AE}" pid="275" name="FSC#SKEDITIONREG@103.510:jod_lu">
    <vt:lpwstr/>
  </property>
  <property fmtid="{D5CDD505-2E9C-101B-9397-08002B2CF9AE}" pid="276" name="FSC#SKEDITIONREG@103.510:jod_nazov">
    <vt:lpwstr/>
  </property>
  <property fmtid="{D5CDD505-2E9C-101B-9397-08002B2CF9AE}" pid="277" name="FSC#SKEDITIONREG@103.510:jod_typ">
    <vt:lpwstr/>
  </property>
  <property fmtid="{D5CDD505-2E9C-101B-9397-08002B2CF9AE}" pid="278" name="FSC#SKEDITIONREG@103.510:jod_zh">
    <vt:lpwstr/>
  </property>
  <property fmtid="{D5CDD505-2E9C-101B-9397-08002B2CF9AE}" pid="279" name="FSC#SKEDITIONREG@103.510:jod_sAttrDatePlatnostDo">
    <vt:lpwstr/>
  </property>
  <property fmtid="{D5CDD505-2E9C-101B-9397-08002B2CF9AE}" pid="280" name="FSC#SKEDITIONREG@103.510:jod_sAttrDatePlatnostOd">
    <vt:lpwstr/>
  </property>
  <property fmtid="{D5CDD505-2E9C-101B-9397-08002B2CF9AE}" pid="281" name="FSC#SKEDITIONREG@103.510:jod_sAttrDateUcinnostDoc">
    <vt:lpwstr/>
  </property>
  <property fmtid="{D5CDD505-2E9C-101B-9397-08002B2CF9AE}" pid="282" name="FSC#SKEDITIONREG@103.510:a_telephone">
    <vt:lpwstr/>
  </property>
  <property fmtid="{D5CDD505-2E9C-101B-9397-08002B2CF9AE}" pid="283" name="FSC#SKEDITIONREG@103.510:a_email">
    <vt:lpwstr/>
  </property>
  <property fmtid="{D5CDD505-2E9C-101B-9397-08002B2CF9AE}" pid="284" name="FSC#SKEDITIONREG@103.510:a_nazovOU">
    <vt:lpwstr/>
  </property>
  <property fmtid="{D5CDD505-2E9C-101B-9397-08002B2CF9AE}" pid="285" name="FSC#SKEDITIONREG@103.510:a_veduciOU">
    <vt:lpwstr/>
  </property>
  <property fmtid="{D5CDD505-2E9C-101B-9397-08002B2CF9AE}" pid="286" name="FSC#SKEDITIONREG@103.510:a_nadradeneOU">
    <vt:lpwstr/>
  </property>
  <property fmtid="{D5CDD505-2E9C-101B-9397-08002B2CF9AE}" pid="287" name="FSC#SKEDITIONREG@103.510:a_veduciOd">
    <vt:lpwstr/>
  </property>
  <property fmtid="{D5CDD505-2E9C-101B-9397-08002B2CF9AE}" pid="288" name="FSC#SKEDITIONREG@103.510:a_komu">
    <vt:lpwstr/>
  </property>
  <property fmtid="{D5CDD505-2E9C-101B-9397-08002B2CF9AE}" pid="289" name="FSC#SKEDITIONREG@103.510:a_nasecislo">
    <vt:lpwstr/>
  </property>
  <property fmtid="{D5CDD505-2E9C-101B-9397-08002B2CF9AE}" pid="290" name="FSC#SKEDITIONREG@103.510:a_riaditelOdboru">
    <vt:lpwstr/>
  </property>
  <property fmtid="{D5CDD505-2E9C-101B-9397-08002B2CF9AE}" pid="291" name="FSC#SKEDITIONREG@103.510:zaz_fileresporg_addrstreet">
    <vt:lpwstr/>
  </property>
  <property fmtid="{D5CDD505-2E9C-101B-9397-08002B2CF9AE}" pid="292" name="FSC#SKEDITIONREG@103.510:zaz_fileresporg_addrzipcode">
    <vt:lpwstr/>
  </property>
  <property fmtid="{D5CDD505-2E9C-101B-9397-08002B2CF9AE}" pid="293" name="FSC#SKEDITIONREG@103.510:zaz_fileresporg_addrcity">
    <vt:lpwstr/>
  </property>
  <property fmtid="{D5CDD505-2E9C-101B-9397-08002B2CF9AE}" pid="294" name="FSC#SKMODSYS@103.500:mdnazov">
    <vt:lpwstr/>
  </property>
  <property fmtid="{D5CDD505-2E9C-101B-9397-08002B2CF9AE}" pid="295" name="FSC#SKMODSYS@103.500:mdfileresp">
    <vt:lpwstr/>
  </property>
  <property fmtid="{D5CDD505-2E9C-101B-9397-08002B2CF9AE}" pid="296" name="FSC#SKMODSYS@103.500:mdfileresporg">
    <vt:lpwstr/>
  </property>
  <property fmtid="{D5CDD505-2E9C-101B-9397-08002B2CF9AE}" pid="297" name="FSC#SKMODSYS@103.500:mdcreateat">
    <vt:lpwstr>3. 10. 2023</vt:lpwstr>
  </property>
  <property fmtid="{D5CDD505-2E9C-101B-9397-08002B2CF9AE}" pid="298" name="FSC#SKCP@103.500:cp_AttrPtrOrgUtvar">
    <vt:lpwstr/>
  </property>
  <property fmtid="{D5CDD505-2E9C-101B-9397-08002B2CF9AE}" pid="299" name="FSC#SKCP@103.500:cp_AttrStrEvCisloCP">
    <vt:lpwstr/>
  </property>
  <property fmtid="{D5CDD505-2E9C-101B-9397-08002B2CF9AE}" pid="300" name="FSC#SKCP@103.500:cp_zamestnanec">
    <vt:lpwstr/>
  </property>
  <property fmtid="{D5CDD505-2E9C-101B-9397-08002B2CF9AE}" pid="301" name="FSC#SKCP@103.500:cpt_miestoRokovania">
    <vt:lpwstr/>
  </property>
  <property fmtid="{D5CDD505-2E9C-101B-9397-08002B2CF9AE}" pid="302" name="FSC#SKCP@103.500:cpt_datumCesty">
    <vt:lpwstr/>
  </property>
  <property fmtid="{D5CDD505-2E9C-101B-9397-08002B2CF9AE}" pid="303" name="FSC#SKCP@103.500:cpt_ucelCesty">
    <vt:lpwstr/>
  </property>
  <property fmtid="{D5CDD505-2E9C-101B-9397-08002B2CF9AE}" pid="304" name="FSC#SKCP@103.500:cpz_miestoRokovania">
    <vt:lpwstr/>
  </property>
  <property fmtid="{D5CDD505-2E9C-101B-9397-08002B2CF9AE}" pid="305" name="FSC#SKCP@103.500:cpz_datumCesty">
    <vt:lpwstr/>
  </property>
  <property fmtid="{D5CDD505-2E9C-101B-9397-08002B2CF9AE}" pid="306" name="FSC#SKCP@103.500:cpz_ucelCesty">
    <vt:lpwstr/>
  </property>
  <property fmtid="{D5CDD505-2E9C-101B-9397-08002B2CF9AE}" pid="307" name="FSC#SKCP@103.500:cpz_datumVypracovania">
    <vt:lpwstr/>
  </property>
  <property fmtid="{D5CDD505-2E9C-101B-9397-08002B2CF9AE}" pid="308" name="FSC#SKCP@103.500:cpz_datPodpSchv1">
    <vt:lpwstr/>
  </property>
  <property fmtid="{D5CDD505-2E9C-101B-9397-08002B2CF9AE}" pid="309" name="FSC#SKCP@103.500:cpz_datPodpSchv2">
    <vt:lpwstr/>
  </property>
  <property fmtid="{D5CDD505-2E9C-101B-9397-08002B2CF9AE}" pid="310" name="FSC#SKCP@103.500:cpz_datPodpSchv3">
    <vt:lpwstr/>
  </property>
  <property fmtid="{D5CDD505-2E9C-101B-9397-08002B2CF9AE}" pid="311" name="FSC#SKCP@103.500:cpz_PodpSchv1">
    <vt:lpwstr/>
  </property>
  <property fmtid="{D5CDD505-2E9C-101B-9397-08002B2CF9AE}" pid="312" name="FSC#SKCP@103.500:cpz_PodpSchv2">
    <vt:lpwstr/>
  </property>
  <property fmtid="{D5CDD505-2E9C-101B-9397-08002B2CF9AE}" pid="313" name="FSC#SKCP@103.500:cpz_PodpSchv3">
    <vt:lpwstr/>
  </property>
  <property fmtid="{D5CDD505-2E9C-101B-9397-08002B2CF9AE}" pid="314" name="FSC#SKCP@103.500:cpz_Funkcia">
    <vt:lpwstr/>
  </property>
  <property fmtid="{D5CDD505-2E9C-101B-9397-08002B2CF9AE}" pid="315" name="FSC#SKCP@103.500:cp_Spolucestujuci">
    <vt:lpwstr/>
  </property>
  <property fmtid="{D5CDD505-2E9C-101B-9397-08002B2CF9AE}" pid="316" name="FSC#SKNAD@103.500:nad_objname">
    <vt:lpwstr/>
  </property>
  <property fmtid="{D5CDD505-2E9C-101B-9397-08002B2CF9AE}" pid="317" name="FSC#SKNAD@103.500:nad_AttrStrNazov">
    <vt:lpwstr/>
  </property>
  <property fmtid="{D5CDD505-2E9C-101B-9397-08002B2CF9AE}" pid="318" name="FSC#SKNAD@103.500:nad_AttrPtrSpracovatel">
    <vt:lpwstr/>
  </property>
  <property fmtid="{D5CDD505-2E9C-101B-9397-08002B2CF9AE}" pid="319" name="FSC#SKNAD@103.500:nad_AttrPtrGestor1">
    <vt:lpwstr/>
  </property>
  <property fmtid="{D5CDD505-2E9C-101B-9397-08002B2CF9AE}" pid="320" name="FSC#SKNAD@103.500:nad_AttrPtrGestor1Funkcia">
    <vt:lpwstr/>
  </property>
  <property fmtid="{D5CDD505-2E9C-101B-9397-08002B2CF9AE}" pid="321" name="FSC#SKNAD@103.500:nad_AttrPtrGestor1OU">
    <vt:lpwstr/>
  </property>
  <property fmtid="{D5CDD505-2E9C-101B-9397-08002B2CF9AE}" pid="322" name="FSC#SKNAD@103.500:nad_AttrPtrGestor2">
    <vt:lpwstr/>
  </property>
  <property fmtid="{D5CDD505-2E9C-101B-9397-08002B2CF9AE}" pid="323" name="FSC#SKNAD@103.500:nad_AttrPtrGestor2Funkcia">
    <vt:lpwstr/>
  </property>
  <property fmtid="{D5CDD505-2E9C-101B-9397-08002B2CF9AE}" pid="324" name="FSC#SKNAD@103.500:nad_schvalil">
    <vt:lpwstr/>
  </property>
  <property fmtid="{D5CDD505-2E9C-101B-9397-08002B2CF9AE}" pid="325" name="FSC#SKNAD@103.500:nad_schvalilfunkcia">
    <vt:lpwstr/>
  </property>
  <property fmtid="{D5CDD505-2E9C-101B-9397-08002B2CF9AE}" pid="326" name="FSC#SKNAD@103.500:nad_vr">
    <vt:lpwstr/>
  </property>
  <property fmtid="{D5CDD505-2E9C-101B-9397-08002B2CF9AE}" pid="327" name="FSC#SKNAD@103.500:nad_AttrDateDatumPodpisania">
    <vt:lpwstr/>
  </property>
  <property fmtid="{D5CDD505-2E9C-101B-9397-08002B2CF9AE}" pid="328" name="FSC#SKNAD@103.500:nad_pripobjname">
    <vt:lpwstr/>
  </property>
  <property fmtid="{D5CDD505-2E9C-101B-9397-08002B2CF9AE}" pid="329" name="FSC#SKNAD@103.500:nad_pripVytvorilKto">
    <vt:lpwstr/>
  </property>
  <property fmtid="{D5CDD505-2E9C-101B-9397-08002B2CF9AE}" pid="330" name="FSC#SKNAD@103.500:nad_pripVytvorilKedy">
    <vt:lpwstr>3.10.2023, 12:00</vt:lpwstr>
  </property>
  <property fmtid="{D5CDD505-2E9C-101B-9397-08002B2CF9AE}" pid="331" name="FSC#SKNAD@103.500:nad_AttrStrCisloNA">
    <vt:lpwstr/>
  </property>
  <property fmtid="{D5CDD505-2E9C-101B-9397-08002B2CF9AE}" pid="332" name="FSC#SKNAD@103.500:nad_AttrDateUcinnaOd">
    <vt:lpwstr/>
  </property>
  <property fmtid="{D5CDD505-2E9C-101B-9397-08002B2CF9AE}" pid="333" name="FSC#SKNAD@103.500:nad_AttrDateUcinnaDo">
    <vt:lpwstr/>
  </property>
  <property fmtid="{D5CDD505-2E9C-101B-9397-08002B2CF9AE}" pid="334" name="FSC#SKNAD@103.500:nad_AttrPtrPredchadzajuceNA">
    <vt:lpwstr/>
  </property>
  <property fmtid="{D5CDD505-2E9C-101B-9397-08002B2CF9AE}" pid="335" name="FSC#SKNAD@103.500:nad_AttrPtrSpracovatelOU">
    <vt:lpwstr/>
  </property>
  <property fmtid="{D5CDD505-2E9C-101B-9397-08002B2CF9AE}" pid="336" name="FSC#SKNAD@103.500:nad_AttrPtrPatriKNA">
    <vt:lpwstr/>
  </property>
  <property fmtid="{D5CDD505-2E9C-101B-9397-08002B2CF9AE}" pid="337" name="FSC#SKNAD@103.500:nad_AttrIntCisloDodatku">
    <vt:lpwstr/>
  </property>
  <property fmtid="{D5CDD505-2E9C-101B-9397-08002B2CF9AE}" pid="338" name="FSC#SKNAD@103.500:nad_AttrPtrSpracVeduci">
    <vt:lpwstr/>
  </property>
  <property fmtid="{D5CDD505-2E9C-101B-9397-08002B2CF9AE}" pid="339" name="FSC#SKNAD@103.500:nad_AttrPtrSpracVeduciOU">
    <vt:lpwstr/>
  </property>
  <property fmtid="{D5CDD505-2E9C-101B-9397-08002B2CF9AE}" pid="340" name="FSC#SKNAD@103.500:nad_spis">
    <vt:lpwstr/>
  </property>
  <property fmtid="{D5CDD505-2E9C-101B-9397-08002B2CF9AE}" pid="341" name="FSC#SKPUPP@103.500:pupp_riaditelPorady">
    <vt:lpwstr/>
  </property>
  <property fmtid="{D5CDD505-2E9C-101B-9397-08002B2CF9AE}" pid="342" name="FSC#SKPUPP@103.500:pupp_cisloporady">
    <vt:lpwstr/>
  </property>
  <property fmtid="{D5CDD505-2E9C-101B-9397-08002B2CF9AE}" pid="343" name="FSC#SKPUPP@103.500:pupp_konanieOHodine">
    <vt:lpwstr/>
  </property>
  <property fmtid="{D5CDD505-2E9C-101B-9397-08002B2CF9AE}" pid="344" name="FSC#SKPUPP@103.500:pupp_datPorMesiacString">
    <vt:lpwstr/>
  </property>
  <property fmtid="{D5CDD505-2E9C-101B-9397-08002B2CF9AE}" pid="345" name="FSC#SKPUPP@103.500:pupp_datumporady">
    <vt:lpwstr/>
  </property>
  <property fmtid="{D5CDD505-2E9C-101B-9397-08002B2CF9AE}" pid="346" name="FSC#SKPUPP@103.500:pupp_konaniedo">
    <vt:lpwstr/>
  </property>
  <property fmtid="{D5CDD505-2E9C-101B-9397-08002B2CF9AE}" pid="347" name="FSC#SKPUPP@103.500:pupp_konanieod">
    <vt:lpwstr/>
  </property>
  <property fmtid="{D5CDD505-2E9C-101B-9397-08002B2CF9AE}" pid="348" name="FSC#SKPUPP@103.500:pupp_menopp">
    <vt:lpwstr/>
  </property>
  <property fmtid="{D5CDD505-2E9C-101B-9397-08002B2CF9AE}" pid="349" name="FSC#SKPUPP@103.500:pupp_miestokonania">
    <vt:lpwstr/>
  </property>
  <property fmtid="{D5CDD505-2E9C-101B-9397-08002B2CF9AE}" pid="350" name="FSC#SKPUPP@103.500:pupp_temaporady">
    <vt:lpwstr/>
  </property>
  <property fmtid="{D5CDD505-2E9C-101B-9397-08002B2CF9AE}" pid="351" name="FSC#SKPUPP@103.500:pupp_ucastnici">
    <vt:lpwstr/>
  </property>
  <property fmtid="{D5CDD505-2E9C-101B-9397-08002B2CF9AE}" pid="352" name="FSC#SKPUPP@103.500:pupp_ulohy">
    <vt:lpwstr>test</vt:lpwstr>
  </property>
  <property fmtid="{D5CDD505-2E9C-101B-9397-08002B2CF9AE}" pid="353" name="FSC#SKPUPP@103.500:pupp_ucastnici_funkcie">
    <vt:lpwstr/>
  </property>
  <property fmtid="{D5CDD505-2E9C-101B-9397-08002B2CF9AE}" pid="354" name="FSC#SKPUPP@103.500:pupp_nazov_ulohy">
    <vt:lpwstr/>
  </property>
  <property fmtid="{D5CDD505-2E9C-101B-9397-08002B2CF9AE}" pid="355" name="FSC#SKPUPP@103.500:pupp_cislo_ulohy">
    <vt:lpwstr/>
  </property>
  <property fmtid="{D5CDD505-2E9C-101B-9397-08002B2CF9AE}" pid="356" name="FSC#SKPUPP@103.500:pupp_riesitel_ulohy">
    <vt:lpwstr/>
  </property>
  <property fmtid="{D5CDD505-2E9C-101B-9397-08002B2CF9AE}" pid="357" name="FSC#SKPUPP@103.500:pupp_vybavit_ulohy">
    <vt:lpwstr/>
  </property>
  <property fmtid="{D5CDD505-2E9C-101B-9397-08002B2CF9AE}" pid="358" name="FSC#SKPUPP@103.500:pupp_orgutvar">
    <vt:lpwstr/>
  </property>
  <property fmtid="{D5CDD505-2E9C-101B-9397-08002B2CF9AE}" pid="359" name="FSC#COOELAK@1.1001:Subject">
    <vt:lpwstr/>
  </property>
  <property fmtid="{D5CDD505-2E9C-101B-9397-08002B2CF9AE}" pid="360" name="FSC#COOELAK@1.1001:FileReference">
    <vt:lpwstr/>
  </property>
  <property fmtid="{D5CDD505-2E9C-101B-9397-08002B2CF9AE}" pid="361" name="FSC#COOELAK@1.1001:FileRefYear">
    <vt:lpwstr/>
  </property>
  <property fmtid="{D5CDD505-2E9C-101B-9397-08002B2CF9AE}" pid="362" name="FSC#COOELAK@1.1001:FileRefOrdinal">
    <vt:lpwstr/>
  </property>
  <property fmtid="{D5CDD505-2E9C-101B-9397-08002B2CF9AE}" pid="363" name="FSC#COOELAK@1.1001:FileRefOU">
    <vt:lpwstr/>
  </property>
  <property fmtid="{D5CDD505-2E9C-101B-9397-08002B2CF9AE}" pid="364" name="FSC#COOELAK@1.1001:Organization">
    <vt:lpwstr/>
  </property>
  <property fmtid="{D5CDD505-2E9C-101B-9397-08002B2CF9AE}" pid="365" name="FSC#COOELAK@1.1001:Owner">
    <vt:lpwstr>wsmhpzpness</vt:lpwstr>
  </property>
  <property fmtid="{D5CDD505-2E9C-101B-9397-08002B2CF9AE}" pid="366" name="FSC#COOELAK@1.1001:OwnerExtension">
    <vt:lpwstr/>
  </property>
  <property fmtid="{D5CDD505-2E9C-101B-9397-08002B2CF9AE}" pid="367" name="FSC#COOELAK@1.1001:OwnerFaxExtension">
    <vt:lpwstr/>
  </property>
  <property fmtid="{D5CDD505-2E9C-101B-9397-08002B2CF9AE}" pid="368" name="FSC#COOELAK@1.1001:DispatchedBy">
    <vt:lpwstr/>
  </property>
  <property fmtid="{D5CDD505-2E9C-101B-9397-08002B2CF9AE}" pid="369" name="FSC#COOELAK@1.1001:DispatchedAt">
    <vt:lpwstr/>
  </property>
  <property fmtid="{D5CDD505-2E9C-101B-9397-08002B2CF9AE}" pid="370" name="FSC#COOELAK@1.1001:ApprovedBy">
    <vt:lpwstr/>
  </property>
  <property fmtid="{D5CDD505-2E9C-101B-9397-08002B2CF9AE}" pid="371" name="FSC#COOELAK@1.1001:ApprovedAt">
    <vt:lpwstr/>
  </property>
  <property fmtid="{D5CDD505-2E9C-101B-9397-08002B2CF9AE}" pid="372" name="FSC#COOELAK@1.1001:Department">
    <vt:lpwstr>Administration (System)</vt:lpwstr>
  </property>
  <property fmtid="{D5CDD505-2E9C-101B-9397-08002B2CF9AE}" pid="373" name="FSC#COOELAK@1.1001:CreatedAt">
    <vt:lpwstr>03.10.2023</vt:lpwstr>
  </property>
  <property fmtid="{D5CDD505-2E9C-101B-9397-08002B2CF9AE}" pid="374" name="FSC#COOELAK@1.1001:OU">
    <vt:lpwstr>2030 (Odbor hospodárskej správy)</vt:lpwstr>
  </property>
  <property fmtid="{D5CDD505-2E9C-101B-9397-08002B2CF9AE}" pid="375" name="FSC#COOELAK@1.1001:Priority">
    <vt:lpwstr> ()</vt:lpwstr>
  </property>
  <property fmtid="{D5CDD505-2E9C-101B-9397-08002B2CF9AE}" pid="376" name="FSC#COOELAK@1.1001:ObjBarCode">
    <vt:lpwstr>*COO.2163.100.15.7664948*</vt:lpwstr>
  </property>
  <property fmtid="{D5CDD505-2E9C-101B-9397-08002B2CF9AE}" pid="377" name="FSC#COOELAK@1.1001:RefBarCode">
    <vt:lpwstr>*COO.2163.100.15.7665055*</vt:lpwstr>
  </property>
  <property fmtid="{D5CDD505-2E9C-101B-9397-08002B2CF9AE}" pid="378" name="FSC#COOELAK@1.1001:FileRefBarCode">
    <vt:lpwstr>**</vt:lpwstr>
  </property>
  <property fmtid="{D5CDD505-2E9C-101B-9397-08002B2CF9AE}" pid="379" name="FSC#COOELAK@1.1001:ExternalRef">
    <vt:lpwstr/>
  </property>
  <property fmtid="{D5CDD505-2E9C-101B-9397-08002B2CF9AE}" pid="380" name="FSC#COOELAK@1.1001:IncomingNumber">
    <vt:lpwstr/>
  </property>
  <property fmtid="{D5CDD505-2E9C-101B-9397-08002B2CF9AE}" pid="381" name="FSC#COOELAK@1.1001:IncomingSubject">
    <vt:lpwstr>Všeobecná agenda - Žiadosť o zmenu poskytnutej dotácie na pokrytie dodatočných nákladov  v dôsledku obmedzenia nárastu cien tepla</vt:lpwstr>
  </property>
  <property fmtid="{D5CDD505-2E9C-101B-9397-08002B2CF9AE}" pid="382" name="FSC#COOELAK@1.1001:ProcessResponsible">
    <vt:lpwstr/>
  </property>
  <property fmtid="{D5CDD505-2E9C-101B-9397-08002B2CF9AE}" pid="383" name="FSC#COOELAK@1.1001:ProcessResponsiblePhone">
    <vt:lpwstr/>
  </property>
  <property fmtid="{D5CDD505-2E9C-101B-9397-08002B2CF9AE}" pid="384" name="FSC#COOELAK@1.1001:ProcessResponsibleMail">
    <vt:lpwstr/>
  </property>
  <property fmtid="{D5CDD505-2E9C-101B-9397-08002B2CF9AE}" pid="385" name="FSC#COOELAK@1.1001:ProcessResponsibleFax">
    <vt:lpwstr/>
  </property>
  <property fmtid="{D5CDD505-2E9C-101B-9397-08002B2CF9AE}" pid="386" name="FSC#COOELAK@1.1001:ApproverFirstName">
    <vt:lpwstr/>
  </property>
  <property fmtid="{D5CDD505-2E9C-101B-9397-08002B2CF9AE}" pid="387" name="FSC#COOELAK@1.1001:ApproverSurName">
    <vt:lpwstr/>
  </property>
  <property fmtid="{D5CDD505-2E9C-101B-9397-08002B2CF9AE}" pid="388" name="FSC#COOELAK@1.1001:ApproverTitle">
    <vt:lpwstr/>
  </property>
  <property fmtid="{D5CDD505-2E9C-101B-9397-08002B2CF9AE}" pid="389" name="FSC#COOELAK@1.1001:ExternalDate">
    <vt:lpwstr/>
  </property>
  <property fmtid="{D5CDD505-2E9C-101B-9397-08002B2CF9AE}" pid="390" name="FSC#COOELAK@1.1001:SettlementApprovedAt">
    <vt:lpwstr/>
  </property>
  <property fmtid="{D5CDD505-2E9C-101B-9397-08002B2CF9AE}" pid="391" name="FSC#COOELAK@1.1001:BaseNumber">
    <vt:lpwstr/>
  </property>
  <property fmtid="{D5CDD505-2E9C-101B-9397-08002B2CF9AE}" pid="392" name="FSC#COOELAK@1.1001:CurrentUserRolePos">
    <vt:lpwstr>referent 3</vt:lpwstr>
  </property>
  <property fmtid="{D5CDD505-2E9C-101B-9397-08002B2CF9AE}" pid="393" name="FSC#COOELAK@1.1001:CurrentUserEmail">
    <vt:lpwstr>miroslav.fargas@mhsr.sk</vt:lpwstr>
  </property>
  <property fmtid="{D5CDD505-2E9C-101B-9397-08002B2CF9AE}" pid="394" name="FSC#ELAKGOV@1.1001:PersonalSubjGender">
    <vt:lpwstr/>
  </property>
  <property fmtid="{D5CDD505-2E9C-101B-9397-08002B2CF9AE}" pid="395" name="FSC#ELAKGOV@1.1001:PersonalSubjFirstName">
    <vt:lpwstr/>
  </property>
  <property fmtid="{D5CDD505-2E9C-101B-9397-08002B2CF9AE}" pid="396" name="FSC#ELAKGOV@1.1001:PersonalSubjSurName">
    <vt:lpwstr/>
  </property>
  <property fmtid="{D5CDD505-2E9C-101B-9397-08002B2CF9AE}" pid="397" name="FSC#ELAKGOV@1.1001:PersonalSubjSalutation">
    <vt:lpwstr/>
  </property>
  <property fmtid="{D5CDD505-2E9C-101B-9397-08002B2CF9AE}" pid="398" name="FSC#ELAKGOV@1.1001:PersonalSubjAddress">
    <vt:lpwstr/>
  </property>
  <property fmtid="{D5CDD505-2E9C-101B-9397-08002B2CF9AE}" pid="399" name="FSC#ATSTATECFG@1.1001:Office">
    <vt:lpwstr/>
  </property>
  <property fmtid="{D5CDD505-2E9C-101B-9397-08002B2CF9AE}" pid="400" name="FSC#ATSTATECFG@1.1001:Agent">
    <vt:lpwstr>Ing. Miroslav Petrus</vt:lpwstr>
  </property>
  <property fmtid="{D5CDD505-2E9C-101B-9397-08002B2CF9AE}" pid="401" name="FSC#ATSTATECFG@1.1001:AgentPhone">
    <vt:lpwstr/>
  </property>
  <property fmtid="{D5CDD505-2E9C-101B-9397-08002B2CF9AE}" pid="402" name="FSC#ATSTATECFG@1.1001:DepartmentFax">
    <vt:lpwstr/>
  </property>
  <property fmtid="{D5CDD505-2E9C-101B-9397-08002B2CF9AE}" pid="403" name="FSC#ATSTATECFG@1.1001:DepartmentEmail">
    <vt:lpwstr/>
  </property>
  <property fmtid="{D5CDD505-2E9C-101B-9397-08002B2CF9AE}" pid="404" name="FSC#ATSTATECFG@1.1001:SubfileDate">
    <vt:lpwstr>03.10.2023</vt:lpwstr>
  </property>
  <property fmtid="{D5CDD505-2E9C-101B-9397-08002B2CF9AE}" pid="405" name="FSC#ATSTATECFG@1.1001:SubfileSubject">
    <vt:lpwstr>Všeobecná agenda - Žiadosť o zmenu poskytnutej dotácie na pokrytie dodatočných nákladov  v dôsledku obmedzenia nárastu cien tepla</vt:lpwstr>
  </property>
  <property fmtid="{D5CDD505-2E9C-101B-9397-08002B2CF9AE}" pid="406" name="FSC#ATSTATECFG@1.1001:DepartmentZipCode">
    <vt:lpwstr/>
  </property>
  <property fmtid="{D5CDD505-2E9C-101B-9397-08002B2CF9AE}" pid="407" name="FSC#ATSTATECFG@1.1001:DepartmentCountry">
    <vt:lpwstr/>
  </property>
  <property fmtid="{D5CDD505-2E9C-101B-9397-08002B2CF9AE}" pid="408" name="FSC#ATSTATECFG@1.1001:DepartmentCity">
    <vt:lpwstr/>
  </property>
  <property fmtid="{D5CDD505-2E9C-101B-9397-08002B2CF9AE}" pid="409" name="FSC#ATSTATECFG@1.1001:DepartmentStreet">
    <vt:lpwstr/>
  </property>
  <property fmtid="{D5CDD505-2E9C-101B-9397-08002B2CF9AE}" pid="410" name="FSC#ATSTATECFG@1.1001:DepartmentDVR">
    <vt:lpwstr/>
  </property>
  <property fmtid="{D5CDD505-2E9C-101B-9397-08002B2CF9AE}" pid="411" name="FSC#ATSTATECFG@1.1001:DepartmentUID">
    <vt:lpwstr/>
  </property>
  <property fmtid="{D5CDD505-2E9C-101B-9397-08002B2CF9AE}" pid="412" name="FSC#ATSTATECFG@1.1001:SubfileReference">
    <vt:lpwstr/>
  </property>
  <property fmtid="{D5CDD505-2E9C-101B-9397-08002B2CF9AE}" pid="413" name="FSC#ATSTATECFG@1.1001:Clause">
    <vt:lpwstr/>
  </property>
  <property fmtid="{D5CDD505-2E9C-101B-9397-08002B2CF9AE}" pid="414" name="FSC#ATSTATECFG@1.1001:ApprovedSignature">
    <vt:lpwstr/>
  </property>
  <property fmtid="{D5CDD505-2E9C-101B-9397-08002B2CF9AE}" pid="415" name="FSC#ATSTATECFG@1.1001:BankAccount">
    <vt:lpwstr/>
  </property>
  <property fmtid="{D5CDD505-2E9C-101B-9397-08002B2CF9AE}" pid="416" name="FSC#ATSTATECFG@1.1001:BankAccountOwner">
    <vt:lpwstr/>
  </property>
  <property fmtid="{D5CDD505-2E9C-101B-9397-08002B2CF9AE}" pid="417" name="FSC#ATSTATECFG@1.1001:BankInstitute">
    <vt:lpwstr/>
  </property>
  <property fmtid="{D5CDD505-2E9C-101B-9397-08002B2CF9AE}" pid="418" name="FSC#ATSTATECFG@1.1001:BankAccountID">
    <vt:lpwstr/>
  </property>
  <property fmtid="{D5CDD505-2E9C-101B-9397-08002B2CF9AE}" pid="419" name="FSC#ATSTATECFG@1.1001:BankAccountIBAN">
    <vt:lpwstr/>
  </property>
  <property fmtid="{D5CDD505-2E9C-101B-9397-08002B2CF9AE}" pid="420" name="FSC#ATSTATECFG@1.1001:BankAccountBIC">
    <vt:lpwstr/>
  </property>
  <property fmtid="{D5CDD505-2E9C-101B-9397-08002B2CF9AE}" pid="421" name="FSC#ATSTATECFG@1.1001:BankName">
    <vt:lpwstr/>
  </property>
  <property fmtid="{D5CDD505-2E9C-101B-9397-08002B2CF9AE}" pid="422" name="FSC#COOELAK@1.1001:ObjectAddressees">
    <vt:lpwstr>COM-THERM, SPOL. S R.O., MILETIČOVA 55/0 , 821 09 BRATISLAVA</vt:lpwstr>
  </property>
  <property fmtid="{D5CDD505-2E9C-101B-9397-08002B2CF9AE}" pid="423" name="FSC#SKCONV@103.510:docname">
    <vt:lpwstr/>
  </property>
  <property fmtid="{D5CDD505-2E9C-101B-9397-08002B2CF9AE}" pid="424" name="FSC#COOSYSTEM@1.1:Container">
    <vt:lpwstr>COO.2163.100.15.7664948</vt:lpwstr>
  </property>
  <property fmtid="{D5CDD505-2E9C-101B-9397-08002B2CF9AE}" pid="425" name="FSC#FSCFOLIO@1.1001:docpropproject">
    <vt:lpwstr/>
  </property>
</Properties>
</file>